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esktop\guimaras pilot\"/>
    </mc:Choice>
  </mc:AlternateContent>
  <bookViews>
    <workbookView xWindow="120" yWindow="105" windowWidth="11880" windowHeight="5520"/>
  </bookViews>
  <sheets>
    <sheet name="Entry" sheetId="5" r:id="rId1"/>
    <sheet name="Ref" sheetId="10" state="hidden" r:id="rId2"/>
    <sheet name="Matrix" sheetId="16" r:id="rId3"/>
    <sheet name="3Stars" sheetId="11" r:id="rId4"/>
    <sheet name="Charts" sheetId="15" r:id="rId5"/>
    <sheet name="Dropdown" sheetId="2" state="hidden" r:id="rId6"/>
    <sheet name="Settings" sheetId="14" state="hidden" r:id="rId7"/>
  </sheets>
  <definedNames>
    <definedName name="Dropdown">Dropdown!$1:$1048576</definedName>
    <definedName name="Headers">Dropdown!$1:$1</definedName>
    <definedName name="_xlnm.Print_Area" localSheetId="3">'3Stars'!$A$1:$I$49</definedName>
    <definedName name="_xlnm.Print_Area" localSheetId="4">Charts!$A$1:$M$38</definedName>
    <definedName name="_xlnm.Print_Area" localSheetId="2">Matrix!$A$1:$G$19</definedName>
    <definedName name="_xlnm.Print_Titles" localSheetId="3">'3Stars'!$8:$8</definedName>
    <definedName name="Sublist_Left" localSheetId="0">INDEX(Dropdown, 2,MATCH(Entry!XFD1,Headers,0)):INDEX(Dropdown, COUNTA(INDEX(Dropdown,,MATCH(Entry!XFD1,Headers,0))),MATCH(Entry!XFD1,Headers,0))</definedName>
    <definedName name="Sublist_Left" localSheetId="2">INDEX(Dropdown, 2,MATCH(Entry!XFD1,Headers,0)):INDEX(Dropdown, COUNTA(INDEX(Dropdown,,MATCH(Entry!XFD1,Headers,0))),MATCH(Entry!XFD1,Headers,0))</definedName>
    <definedName name="Sublist_Right">INDEX(Dropdown, 2,MATCH(Entry!B1,Headers,0)):INDEX(Dropdown, COUNTA(INDEX(Dropdown,,MATCH(Entry!B1,Headers,0))),MATCH(Entry!B1,Headers,0))</definedName>
    <definedName name="Sublist_Top" localSheetId="0">INDEX(Dropdown, 2,MATCH(Entry!A1048576,Headers,0)):INDEX(Dropdown, COUNTA(INDEX(Dropdown,,MATCH(Entry!A1048576,Headers,0))),MATCH(Entry!A1048576,Headers,0))</definedName>
  </definedNames>
  <calcPr calcId="152511"/>
</workbook>
</file>

<file path=xl/calcChain.xml><?xml version="1.0" encoding="utf-8"?>
<calcChain xmlns="http://schemas.openxmlformats.org/spreadsheetml/2006/main">
  <c r="F31" i="11" l="1"/>
  <c r="B141" i="10" l="1"/>
  <c r="B140" i="10"/>
  <c r="B139" i="10"/>
  <c r="B138" i="10"/>
  <c r="B137" i="10"/>
  <c r="B96" i="10"/>
  <c r="B95" i="10"/>
  <c r="B94" i="10"/>
  <c r="B78" i="10"/>
  <c r="B24" i="10"/>
  <c r="F32" i="11"/>
  <c r="F26" i="11" l="1"/>
  <c r="D9" i="11"/>
  <c r="F9" i="11"/>
  <c r="B89" i="10" l="1"/>
  <c r="B88" i="10"/>
  <c r="B87" i="10"/>
  <c r="B72" i="10"/>
  <c r="F16" i="11" l="1"/>
  <c r="D16" i="11"/>
  <c r="F42" i="11" l="1"/>
  <c r="D42" i="11"/>
  <c r="B42" i="11"/>
  <c r="B13" i="11" l="1"/>
  <c r="D13" i="11"/>
  <c r="F13" i="11"/>
  <c r="B38" i="10" l="1"/>
  <c r="B37" i="10"/>
  <c r="B36" i="10"/>
  <c r="B41" i="10"/>
  <c r="B40" i="10"/>
  <c r="G45" i="5" l="1"/>
  <c r="G44" i="5"/>
  <c r="H44" i="5" s="1"/>
  <c r="D36" i="11" l="1"/>
  <c r="F17" i="11"/>
  <c r="B2" i="16" l="1"/>
  <c r="B37" i="11" l="1"/>
  <c r="D37" i="11"/>
  <c r="F37" i="11"/>
  <c r="B11" i="11"/>
  <c r="A2" i="15" l="1"/>
  <c r="B5" i="11" l="1"/>
  <c r="F47" i="11" l="1"/>
  <c r="B29" i="11" l="1"/>
  <c r="D29" i="11"/>
  <c r="F29" i="11"/>
  <c r="B28" i="11"/>
  <c r="F28" i="11"/>
  <c r="B73" i="10"/>
  <c r="B68" i="10"/>
  <c r="B66" i="10"/>
  <c r="B20" i="10" l="1"/>
  <c r="B2" i="10"/>
  <c r="B3" i="10"/>
  <c r="B5" i="10"/>
  <c r="B6" i="10"/>
  <c r="B4" i="10"/>
  <c r="B7" i="10"/>
  <c r="B8" i="10"/>
  <c r="B9" i="10"/>
  <c r="B10" i="10"/>
  <c r="B11" i="10"/>
  <c r="B12" i="10"/>
  <c r="B13" i="10"/>
  <c r="B14" i="10"/>
  <c r="B15" i="10"/>
  <c r="B16" i="10"/>
  <c r="B17" i="10"/>
  <c r="B18" i="10"/>
  <c r="B19" i="10"/>
  <c r="B21" i="10"/>
  <c r="B25" i="10"/>
  <c r="B26" i="10"/>
  <c r="B27" i="10"/>
  <c r="B28" i="10"/>
  <c r="B29" i="10"/>
  <c r="B30" i="10"/>
  <c r="B31" i="10"/>
  <c r="B32" i="10"/>
  <c r="B22" i="10"/>
  <c r="B23" i="10"/>
  <c r="B33" i="10"/>
  <c r="B34" i="10"/>
  <c r="B35" i="10"/>
  <c r="B39" i="10"/>
  <c r="B42" i="10"/>
  <c r="B43" i="10"/>
  <c r="B44" i="10"/>
  <c r="B45" i="10"/>
  <c r="B46" i="10"/>
  <c r="B47" i="10"/>
  <c r="B48" i="10"/>
  <c r="B49" i="10"/>
  <c r="B50" i="10"/>
  <c r="B51" i="10"/>
  <c r="B52" i="10"/>
  <c r="B53" i="10"/>
  <c r="B54" i="10"/>
  <c r="B55" i="10"/>
  <c r="B56" i="10"/>
  <c r="B57" i="10"/>
  <c r="B58" i="10"/>
  <c r="B59" i="10"/>
  <c r="B60" i="10"/>
  <c r="B61" i="10"/>
  <c r="B62" i="10"/>
  <c r="B63" i="10"/>
  <c r="B64" i="10"/>
  <c r="B65" i="10"/>
  <c r="B67" i="10"/>
  <c r="B69" i="10"/>
  <c r="B70" i="10"/>
  <c r="B71" i="10"/>
  <c r="B74" i="10"/>
  <c r="B75" i="10"/>
  <c r="B76" i="10"/>
  <c r="B77" i="10"/>
  <c r="B79" i="10"/>
  <c r="B80" i="10"/>
  <c r="B81" i="10"/>
  <c r="B82" i="10"/>
  <c r="B83" i="10"/>
  <c r="B84" i="10"/>
  <c r="B85" i="10"/>
  <c r="B86" i="10"/>
  <c r="F48" i="11"/>
  <c r="D48" i="11"/>
  <c r="F46" i="11"/>
  <c r="F45" i="11"/>
  <c r="D45" i="11"/>
  <c r="F44" i="11"/>
  <c r="D44" i="11"/>
  <c r="B44" i="11"/>
  <c r="F43" i="11"/>
  <c r="D43" i="11"/>
  <c r="B43" i="11" s="1"/>
  <c r="F41" i="11"/>
  <c r="H41" i="11" s="1"/>
  <c r="P129" i="15" s="1"/>
  <c r="C13" i="16" s="1"/>
  <c r="D41" i="11"/>
  <c r="B41" i="11"/>
  <c r="F40" i="11"/>
  <c r="F39" i="11"/>
  <c r="D39" i="11"/>
  <c r="F38" i="11"/>
  <c r="D38" i="11"/>
  <c r="F36" i="11"/>
  <c r="B36" i="11"/>
  <c r="F35" i="11"/>
  <c r="D35" i="11"/>
  <c r="B35" i="11"/>
  <c r="F34" i="11"/>
  <c r="D34" i="11"/>
  <c r="B34" i="11"/>
  <c r="F33" i="11"/>
  <c r="D33" i="11"/>
  <c r="B33" i="11"/>
  <c r="D28" i="11"/>
  <c r="F27" i="11"/>
  <c r="F25" i="11"/>
  <c r="D25" i="11"/>
  <c r="B25" i="11"/>
  <c r="F24" i="11"/>
  <c r="D24" i="11"/>
  <c r="B24" i="11"/>
  <c r="F23" i="11"/>
  <c r="D23" i="11" s="1"/>
  <c r="B23" i="11" s="1"/>
  <c r="F22" i="11"/>
  <c r="D22" i="11"/>
  <c r="B22" i="11"/>
  <c r="F21" i="11"/>
  <c r="D21" i="11" s="1"/>
  <c r="B21" i="11" s="1"/>
  <c r="F20" i="11"/>
  <c r="D20" i="11"/>
  <c r="B20" i="11"/>
  <c r="F19" i="11"/>
  <c r="D19" i="11"/>
  <c r="B19" i="11"/>
  <c r="F18" i="11"/>
  <c r="D18" i="11"/>
  <c r="B18" i="11"/>
  <c r="F15" i="11"/>
  <c r="D15" i="11"/>
  <c r="F14" i="11"/>
  <c r="D14" i="11"/>
  <c r="F12" i="11"/>
  <c r="D12" i="11" s="1"/>
  <c r="B12" i="11"/>
  <c r="F10" i="11"/>
  <c r="D10" i="11"/>
  <c r="B10" i="11"/>
  <c r="F11" i="11"/>
  <c r="D11" i="11"/>
  <c r="B9" i="11"/>
  <c r="H43" i="11" l="1"/>
  <c r="P136" i="15" s="1"/>
  <c r="C14" i="16" s="1"/>
  <c r="H19" i="11"/>
  <c r="P103" i="15" s="1"/>
  <c r="F6" i="16" s="1"/>
  <c r="H35" i="11"/>
  <c r="P121" i="15" s="1"/>
  <c r="C11" i="16" s="1"/>
  <c r="H34" i="11"/>
  <c r="P120" i="15" s="1"/>
  <c r="E10" i="16" s="1"/>
  <c r="H25" i="11"/>
  <c r="P109" i="15" s="1"/>
  <c r="D8" i="16" s="1"/>
  <c r="H10" i="11"/>
  <c r="I10" i="11"/>
  <c r="I11" i="11"/>
  <c r="H11" i="11"/>
  <c r="H28" i="11"/>
  <c r="P114" i="15" s="1"/>
  <c r="C9" i="16" s="1"/>
  <c r="H24" i="11"/>
  <c r="P108" i="15" s="1"/>
  <c r="C8" i="16" s="1"/>
  <c r="H9" i="11"/>
  <c r="H18" i="11"/>
  <c r="P102" i="15" s="1"/>
  <c r="E6" i="16" s="1"/>
  <c r="H36" i="11"/>
  <c r="P122" i="15" s="1"/>
  <c r="D11" i="16" s="1"/>
  <c r="H42" i="11"/>
  <c r="P130" i="15" s="1"/>
  <c r="D13" i="16" s="1"/>
  <c r="H12" i="11"/>
  <c r="P96" i="15" s="1"/>
  <c r="C5" i="16" s="1"/>
  <c r="D27" i="11"/>
  <c r="B27" i="11" s="1"/>
  <c r="H33" i="11"/>
  <c r="P119" i="15" s="1"/>
  <c r="D10" i="16" s="1"/>
  <c r="F1" i="5"/>
  <c r="P91" i="15" l="1"/>
  <c r="D4" i="16" s="1"/>
  <c r="P92" i="15"/>
  <c r="E4" i="16" s="1"/>
  <c r="I35" i="11"/>
  <c r="P90" i="15"/>
  <c r="C4" i="16" s="1"/>
  <c r="H27" i="11"/>
  <c r="P111" i="15" s="1"/>
  <c r="F8" i="16" s="1"/>
  <c r="I41" i="11"/>
  <c r="I33" i="11"/>
  <c r="B149" i="10"/>
  <c r="B113" i="10"/>
  <c r="B112" i="10"/>
  <c r="B111" i="10"/>
  <c r="B92" i="10"/>
  <c r="B93" i="10"/>
  <c r="B91" i="10"/>
  <c r="P85" i="15" l="1"/>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8" i="10"/>
  <c r="B147" i="10"/>
  <c r="B146" i="10"/>
  <c r="B145" i="10"/>
  <c r="B144" i="10"/>
  <c r="B143" i="10"/>
  <c r="B142"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0" i="10"/>
  <c r="B107" i="10"/>
  <c r="B109" i="10"/>
  <c r="B108" i="10"/>
  <c r="B106" i="10"/>
  <c r="B105" i="10"/>
  <c r="B104" i="10"/>
  <c r="B103" i="10"/>
  <c r="B102" i="10"/>
  <c r="B101" i="10"/>
  <c r="B100" i="10"/>
  <c r="B99" i="10"/>
  <c r="B98" i="10"/>
  <c r="B97" i="10"/>
  <c r="B90" i="10"/>
  <c r="H32" i="11" l="1"/>
  <c r="P118" i="15" s="1"/>
  <c r="C10" i="16" s="1"/>
  <c r="H31" i="11"/>
  <c r="P117" i="15" s="1"/>
  <c r="F9" i="16" s="1"/>
  <c r="H40" i="11"/>
  <c r="P126" i="15" s="1"/>
  <c r="E12" i="16" s="1"/>
  <c r="H48" i="11"/>
  <c r="P141" i="15" s="1"/>
  <c r="E15" i="16" s="1"/>
  <c r="I19" i="11"/>
  <c r="H16" i="11"/>
  <c r="P100" i="15" s="1"/>
  <c r="C6" i="16" s="1"/>
  <c r="H13" i="11"/>
  <c r="P97" i="15" s="1"/>
  <c r="D5" i="16" s="1"/>
  <c r="H39" i="11" l="1"/>
  <c r="P125" i="15" s="1"/>
  <c r="D12" i="16" s="1"/>
  <c r="I27" i="11"/>
  <c r="H21" i="11"/>
  <c r="P105" i="15" s="1"/>
  <c r="D7" i="16" s="1"/>
  <c r="H44" i="11"/>
  <c r="P137" i="15" s="1"/>
  <c r="D14" i="16" s="1"/>
  <c r="H15" i="11"/>
  <c r="P99" i="15" s="1"/>
  <c r="F5" i="16" s="1"/>
  <c r="H14" i="11"/>
  <c r="P98" i="15" s="1"/>
  <c r="E5" i="16" s="1"/>
  <c r="A28" i="5" l="1"/>
  <c r="F22" i="5"/>
  <c r="F21" i="5"/>
  <c r="F20" i="5"/>
  <c r="F30" i="11" s="1"/>
  <c r="A29" i="5" l="1"/>
  <c r="I9" i="11"/>
  <c r="I12" i="11"/>
  <c r="H22" i="11" l="1"/>
  <c r="P106" i="15" s="1"/>
  <c r="E7" i="16" s="1"/>
  <c r="H38" i="11" l="1"/>
  <c r="P124" i="15" s="1"/>
  <c r="C12" i="16" s="1"/>
  <c r="H46" i="11"/>
  <c r="P139" i="15" s="1"/>
  <c r="C15" i="16" s="1"/>
  <c r="H45" i="11"/>
  <c r="P138" i="15" s="1"/>
  <c r="E14" i="16" s="1"/>
  <c r="H26" i="11"/>
  <c r="H20" i="11"/>
  <c r="P104" i="15" s="1"/>
  <c r="C7" i="16" s="1"/>
  <c r="I18" i="11"/>
  <c r="A30" i="5"/>
  <c r="A31" i="5" l="1"/>
  <c r="A32" i="5" s="1"/>
  <c r="A38" i="5" s="1"/>
  <c r="A43" i="5" s="1"/>
  <c r="A47" i="5" s="1"/>
  <c r="A50" i="5" s="1"/>
  <c r="I24" i="11"/>
  <c r="P110" i="15"/>
  <c r="E8" i="16" s="1"/>
  <c r="H23" i="11" l="1"/>
  <c r="P107" i="15" s="1"/>
  <c r="F7" i="16" s="1"/>
  <c r="A51" i="5"/>
  <c r="A52" i="5" s="1"/>
  <c r="A53" i="5" s="1"/>
  <c r="A54" i="5" s="1"/>
  <c r="A55" i="5" s="1"/>
  <c r="A56" i="5" s="1"/>
  <c r="A66" i="5" s="1"/>
  <c r="A67" i="5" s="1"/>
  <c r="A68" i="5" s="1"/>
  <c r="A69" i="5" s="1"/>
  <c r="A70" i="5" s="1"/>
  <c r="A71" i="5" s="1"/>
  <c r="A72" i="5" s="1"/>
  <c r="A73" i="5" s="1"/>
  <c r="A74" i="5" s="1"/>
  <c r="A75" i="5" s="1"/>
  <c r="A81" i="5" s="1"/>
  <c r="A82" i="5" s="1"/>
  <c r="A83" i="5" s="1"/>
  <c r="A87" i="5" s="1"/>
  <c r="A88" i="5" s="1"/>
  <c r="A93" i="5" s="1"/>
  <c r="A94" i="5" s="1"/>
  <c r="I20" i="11" l="1"/>
  <c r="A98" i="5"/>
  <c r="A102" i="5" s="1"/>
  <c r="A103" i="5" l="1"/>
  <c r="A111" i="5" s="1"/>
  <c r="A117" i="5" s="1"/>
  <c r="A118" i="5" s="1"/>
  <c r="A122" i="5" s="1"/>
  <c r="A123" i="5" s="1"/>
  <c r="A127" i="5" s="1"/>
  <c r="A134" i="5" s="1"/>
  <c r="A140" i="5" s="1"/>
  <c r="A141" i="5" s="1"/>
  <c r="A142" i="5" s="1"/>
  <c r="A143" i="5" s="1"/>
  <c r="A148" i="5" s="1"/>
  <c r="H17" i="11"/>
  <c r="P101" i="15" s="1"/>
  <c r="D6" i="16" s="1"/>
  <c r="A149" i="5" l="1"/>
  <c r="A154" i="5" s="1"/>
  <c r="A161" i="5" s="1"/>
  <c r="A162" i="5" s="1"/>
  <c r="A163" i="5" s="1"/>
  <c r="A164" i="5" s="1"/>
  <c r="A165" i="5" s="1"/>
  <c r="A166" i="5" s="1"/>
  <c r="I13" i="11"/>
  <c r="P83" i="15" s="1"/>
  <c r="H29" i="11" l="1"/>
  <c r="P115" i="15" s="1"/>
  <c r="D9" i="16" s="1"/>
  <c r="I43" i="11"/>
  <c r="P82" i="15" l="1"/>
  <c r="H37" i="11"/>
  <c r="B6" i="11"/>
  <c r="B4" i="11"/>
  <c r="P123" i="15" l="1"/>
  <c r="E11" i="16" s="1"/>
  <c r="I37" i="11"/>
  <c r="A3" i="2"/>
  <c r="A4" i="2" s="1"/>
  <c r="A5" i="2" s="1"/>
  <c r="A6" i="2" s="1"/>
  <c r="A7" i="2" s="1"/>
  <c r="A8" i="2" s="1"/>
  <c r="A9" i="2" s="1"/>
  <c r="A10" i="2" s="1"/>
  <c r="A11" i="2" s="1"/>
  <c r="A12" i="2" s="1"/>
  <c r="A13" i="2" s="1"/>
  <c r="A14" i="2" s="1"/>
  <c r="A15" i="2" s="1"/>
  <c r="A16" i="2" s="1"/>
  <c r="D47" i="11" l="1"/>
  <c r="H47" i="11" s="1"/>
  <c r="P140" i="15" s="1"/>
  <c r="D15" i="16" s="1"/>
  <c r="I44" i="11" l="1"/>
  <c r="P86" i="15" l="1"/>
  <c r="D30" i="11" l="1"/>
  <c r="B30" i="11" s="1"/>
  <c r="H30" i="11"/>
  <c r="P116" i="15" s="1"/>
  <c r="E9" i="16" s="1"/>
  <c r="I28" i="11" l="1"/>
  <c r="P84" i="15" s="1"/>
  <c r="I5" i="11" l="1"/>
  <c r="I4" i="11" s="1"/>
</calcChain>
</file>

<file path=xl/comments1.xml><?xml version="1.0" encoding="utf-8"?>
<comments xmlns="http://schemas.openxmlformats.org/spreadsheetml/2006/main">
  <authors>
    <author>Toshiba</author>
  </authors>
  <commentList>
    <comment ref="D8" authorId="0" shapeId="0">
      <text>
        <r>
          <rPr>
            <sz val="8"/>
            <color indexed="81"/>
            <rFont val="Tahoma"/>
            <family val="2"/>
          </rPr>
          <t>Enter date using the the format yyyy-mm-dd</t>
        </r>
      </text>
    </comment>
    <comment ref="D11" authorId="0" shapeId="0">
      <text>
        <r>
          <rPr>
            <sz val="8"/>
            <color indexed="81"/>
            <rFont val="Tahoma"/>
            <family val="2"/>
          </rPr>
          <t>Enter text.</t>
        </r>
      </text>
    </comment>
    <comment ref="D12" authorId="0" shapeId="0">
      <text>
        <r>
          <rPr>
            <sz val="8"/>
            <color indexed="81"/>
            <rFont val="Tahoma"/>
            <family val="2"/>
          </rPr>
          <t>Enter School ID</t>
        </r>
      </text>
    </comment>
    <comment ref="D13" authorId="0" shapeId="0">
      <text>
        <r>
          <rPr>
            <sz val="8"/>
            <color indexed="81"/>
            <rFont val="Tahoma"/>
            <family val="2"/>
          </rPr>
          <t>Enter text</t>
        </r>
      </text>
    </comment>
    <comment ref="D14" authorId="0" shapeId="0">
      <text>
        <r>
          <rPr>
            <sz val="8"/>
            <color indexed="81"/>
            <rFont val="Tahoma"/>
            <family val="2"/>
          </rPr>
          <t>Enter text</t>
        </r>
      </text>
    </comment>
    <comment ref="D15" authorId="0" shapeId="0">
      <text>
        <r>
          <rPr>
            <sz val="8"/>
            <color indexed="81"/>
            <rFont val="Tahoma"/>
            <family val="2"/>
          </rPr>
          <t>Enter text</t>
        </r>
      </text>
    </comment>
    <comment ref="D20" authorId="0" shapeId="0">
      <text>
        <r>
          <rPr>
            <sz val="8"/>
            <color indexed="81"/>
            <rFont val="Tahoma"/>
            <family val="2"/>
          </rPr>
          <t>Enter number</t>
        </r>
      </text>
    </comment>
    <comment ref="E20" authorId="0" shapeId="0">
      <text>
        <r>
          <rPr>
            <sz val="8"/>
            <color indexed="81"/>
            <rFont val="Tahoma"/>
            <family val="2"/>
          </rPr>
          <t>Enter number</t>
        </r>
      </text>
    </comment>
    <comment ref="D21" authorId="0" shapeId="0">
      <text>
        <r>
          <rPr>
            <sz val="8"/>
            <color indexed="81"/>
            <rFont val="Tahoma"/>
            <family val="2"/>
          </rPr>
          <t>Enter number</t>
        </r>
      </text>
    </comment>
    <comment ref="E21" authorId="0" shapeId="0">
      <text>
        <r>
          <rPr>
            <sz val="8"/>
            <color indexed="81"/>
            <rFont val="Tahoma"/>
            <family val="2"/>
          </rPr>
          <t>Enter number</t>
        </r>
      </text>
    </comment>
    <comment ref="D22" authorId="0" shapeId="0">
      <text>
        <r>
          <rPr>
            <sz val="8"/>
            <color indexed="81"/>
            <rFont val="Tahoma"/>
            <family val="2"/>
          </rPr>
          <t>Enter number</t>
        </r>
      </text>
    </comment>
    <comment ref="E22" authorId="0" shapeId="0">
      <text>
        <r>
          <rPr>
            <sz val="8"/>
            <color indexed="81"/>
            <rFont val="Tahoma"/>
            <family val="2"/>
          </rPr>
          <t>Enter number</t>
        </r>
      </text>
    </comment>
    <comment ref="D30" authorId="0" shapeId="0">
      <text>
        <r>
          <rPr>
            <sz val="8"/>
            <color indexed="81"/>
            <rFont val="Tahoma"/>
            <family val="2"/>
          </rPr>
          <t>Enter number</t>
        </r>
      </text>
    </comment>
    <comment ref="D37" authorId="0" shapeId="0">
      <text>
        <r>
          <rPr>
            <sz val="8"/>
            <color indexed="81"/>
            <rFont val="Tahoma"/>
            <family val="2"/>
          </rPr>
          <t>Enter text</t>
        </r>
      </text>
    </comment>
    <comment ref="D44" authorId="0" shapeId="0">
      <text>
        <r>
          <rPr>
            <sz val="8"/>
            <color indexed="81"/>
            <rFont val="Tahoma"/>
            <family val="2"/>
          </rPr>
          <t>Enter number</t>
        </r>
      </text>
    </comment>
    <comment ref="E44" authorId="0" shapeId="0">
      <text>
        <r>
          <rPr>
            <sz val="8"/>
            <color indexed="81"/>
            <rFont val="Tahoma"/>
            <family val="2"/>
          </rPr>
          <t>Enter number</t>
        </r>
      </text>
    </comment>
    <comment ref="F44" authorId="0" shapeId="0">
      <text>
        <r>
          <rPr>
            <sz val="8"/>
            <color indexed="81"/>
            <rFont val="Tahoma"/>
            <family val="2"/>
          </rPr>
          <t>Enter number</t>
        </r>
      </text>
    </comment>
    <comment ref="D45" authorId="0" shapeId="0">
      <text>
        <r>
          <rPr>
            <sz val="8"/>
            <color indexed="81"/>
            <rFont val="Tahoma"/>
            <family val="2"/>
          </rPr>
          <t>Enter number</t>
        </r>
      </text>
    </comment>
    <comment ref="E45" authorId="0" shapeId="0">
      <text>
        <r>
          <rPr>
            <sz val="8"/>
            <color indexed="81"/>
            <rFont val="Tahoma"/>
            <family val="2"/>
          </rPr>
          <t>Enter number</t>
        </r>
      </text>
    </comment>
    <comment ref="F45" authorId="0" shapeId="0">
      <text>
        <r>
          <rPr>
            <sz val="8"/>
            <color indexed="81"/>
            <rFont val="Tahoma"/>
            <family val="2"/>
          </rPr>
          <t>Enter number</t>
        </r>
      </text>
    </comment>
    <comment ref="D51" authorId="0" shapeId="0">
      <text>
        <r>
          <rPr>
            <sz val="8"/>
            <color indexed="81"/>
            <rFont val="Tahoma"/>
            <family val="2"/>
          </rPr>
          <t>Enter number</t>
        </r>
      </text>
    </comment>
    <comment ref="D93" authorId="0" shapeId="0">
      <text>
        <r>
          <rPr>
            <sz val="8"/>
            <color indexed="81"/>
            <rFont val="Tahoma"/>
            <family val="2"/>
          </rPr>
          <t>Enter number</t>
        </r>
      </text>
    </comment>
    <comment ref="D117" authorId="0" shapeId="0">
      <text>
        <r>
          <rPr>
            <sz val="8"/>
            <color indexed="81"/>
            <rFont val="Tahoma"/>
            <family val="2"/>
          </rPr>
          <t>Enter number</t>
        </r>
      </text>
    </comment>
    <comment ref="D139" authorId="0" shapeId="0">
      <text>
        <r>
          <rPr>
            <sz val="8"/>
            <color indexed="81"/>
            <rFont val="Tahoma"/>
            <family val="2"/>
          </rPr>
          <t>Enter text</t>
        </r>
      </text>
    </comment>
    <comment ref="D149" authorId="0" shapeId="0">
      <text>
        <r>
          <rPr>
            <sz val="8"/>
            <color indexed="81"/>
            <rFont val="Tahoma"/>
            <family val="2"/>
          </rPr>
          <t>Enter number</t>
        </r>
      </text>
    </comment>
  </commentList>
</comments>
</file>

<file path=xl/sharedStrings.xml><?xml version="1.0" encoding="utf-8"?>
<sst xmlns="http://schemas.openxmlformats.org/spreadsheetml/2006/main" count="670" uniqueCount="540">
  <si>
    <t>Description</t>
  </si>
  <si>
    <t>Data</t>
  </si>
  <si>
    <t>Y</t>
  </si>
  <si>
    <t>Required Data</t>
  </si>
  <si>
    <t>Variable  Code</t>
  </si>
  <si>
    <t>Unique Key/s</t>
  </si>
  <si>
    <t>YesNo</t>
  </si>
  <si>
    <t>Yes</t>
  </si>
  <si>
    <t>Male</t>
  </si>
  <si>
    <t>Female</t>
  </si>
  <si>
    <t>No</t>
  </si>
  <si>
    <t>School Year</t>
  </si>
  <si>
    <t>School ID</t>
  </si>
  <si>
    <t xml:space="preserve">Division </t>
  </si>
  <si>
    <t>School District</t>
  </si>
  <si>
    <t>School Name</t>
  </si>
  <si>
    <t>Name of the Schoool Head</t>
  </si>
  <si>
    <t>Check</t>
  </si>
  <si>
    <t>Others</t>
  </si>
  <si>
    <t>* Required</t>
  </si>
  <si>
    <t>Date of Survey: (yyyy-mm-dd)</t>
  </si>
  <si>
    <t>School Address</t>
  </si>
  <si>
    <t>Contact Number</t>
  </si>
  <si>
    <t>A. School Profile</t>
  </si>
  <si>
    <t>B. Water Access</t>
  </si>
  <si>
    <t>Teachers ask the learners to bring their own drinking water to school</t>
  </si>
  <si>
    <t>Available only on certain days of the week</t>
  </si>
  <si>
    <t>Available daily but only in certain hours</t>
  </si>
  <si>
    <t>Available daily for 24 hours</t>
  </si>
  <si>
    <t>C. Sanitation</t>
  </si>
  <si>
    <t>At least twice a week</t>
  </si>
  <si>
    <t>Once a week</t>
  </si>
  <si>
    <t>Less than once a week</t>
  </si>
  <si>
    <t>2-3 times a week</t>
  </si>
  <si>
    <t>No collection</t>
  </si>
  <si>
    <t>Some</t>
  </si>
  <si>
    <t>None</t>
  </si>
  <si>
    <t>AllSome</t>
  </si>
  <si>
    <t xml:space="preserve">Pumping out of water </t>
  </si>
  <si>
    <t>Filling of stagnant water</t>
  </si>
  <si>
    <t>Wearing of hairnet, gloves, masks and apron</t>
  </si>
  <si>
    <t>Handwashing</t>
  </si>
  <si>
    <t>Students assist teachers in supervising handwashing activities</t>
  </si>
  <si>
    <t>Students are assigned to lead handwashing activities</t>
  </si>
  <si>
    <t>Classrooms</t>
  </si>
  <si>
    <t>Toilets</t>
  </si>
  <si>
    <t>Canteen/Eating Areas</t>
  </si>
  <si>
    <t>Play areas</t>
  </si>
  <si>
    <t>Clinics</t>
  </si>
  <si>
    <t>Laboratories</t>
  </si>
  <si>
    <t>Agricultural areas (eg. Gulayan, livestock area)</t>
  </si>
  <si>
    <t>After using the toilet</t>
  </si>
  <si>
    <t>After handling soil and animals</t>
  </si>
  <si>
    <t>Students assist teachers in supervising toothbrushing activities</t>
  </si>
  <si>
    <t>Students are assigned to lead toothbrushing activities</t>
  </si>
  <si>
    <t>School improvement plan (SIP)</t>
  </si>
  <si>
    <t>Annual improvement plan (AIP)</t>
  </si>
  <si>
    <t>D. Hygiene</t>
  </si>
  <si>
    <t>Soap</t>
  </si>
  <si>
    <t>Toothbrush</t>
  </si>
  <si>
    <t>Toothpaste</t>
  </si>
  <si>
    <t>Repair and maintenance</t>
  </si>
  <si>
    <t>School MOOE</t>
  </si>
  <si>
    <t>LGU Funds</t>
  </si>
  <si>
    <t>Children bring their own</t>
  </si>
  <si>
    <t>School Canteen</t>
  </si>
  <si>
    <t xml:space="preserve">School Clinic </t>
  </si>
  <si>
    <t>Guidance Office</t>
  </si>
  <si>
    <t>Cleaning materials/supplies for toilets</t>
  </si>
  <si>
    <t>E. Deworming</t>
  </si>
  <si>
    <t>F. Health Education</t>
  </si>
  <si>
    <t xml:space="preserve">Hygiene </t>
  </si>
  <si>
    <t xml:space="preserve">Sanitation </t>
  </si>
  <si>
    <t>Food safety</t>
  </si>
  <si>
    <t>Menstrual Health</t>
  </si>
  <si>
    <t>Handwashing facilities</t>
  </si>
  <si>
    <t>Canteen/Eating areas</t>
  </si>
  <si>
    <t>Catgegory</t>
  </si>
  <si>
    <t>One Star</t>
  </si>
  <si>
    <t>Two Stars</t>
  </si>
  <si>
    <t>Three Stars</t>
  </si>
  <si>
    <t>Sanitation</t>
  </si>
  <si>
    <t>Hygiene</t>
  </si>
  <si>
    <t xml:space="preserve">Water </t>
  </si>
  <si>
    <t>Deworming</t>
  </si>
  <si>
    <t>Health Education</t>
  </si>
  <si>
    <t>WaterAvailability</t>
  </si>
  <si>
    <t>Score</t>
  </si>
  <si>
    <t>CleaningSchedule</t>
  </si>
  <si>
    <t>GarbageSchedule</t>
  </si>
  <si>
    <t>Daily</t>
  </si>
  <si>
    <t>All</t>
  </si>
  <si>
    <t>HandwashingParticipation</t>
  </si>
  <si>
    <t>ToothbrushingParticipation</t>
  </si>
  <si>
    <t>Students are participants supervised by teachers</t>
  </si>
  <si>
    <t>Division:</t>
  </si>
  <si>
    <t>District:</t>
  </si>
  <si>
    <t>School:</t>
  </si>
  <si>
    <t>DEPARTMENT OF EDUCATION</t>
  </si>
  <si>
    <t>Overall Rating:</t>
  </si>
  <si>
    <t>In the previous week, how often is water for daily handwashing and cleaning of toilets available in the school regardless of source? (This includes water delivered to the school or collected from rain)</t>
  </si>
  <si>
    <t>Does the school coordinate with the LGU or water district to test the quality of drinking water?</t>
  </si>
  <si>
    <t>How many times was the quality of drinking water tested in the previous school year?</t>
  </si>
  <si>
    <t xml:space="preserve">How many toilet seats are available for children in the school? Do not include toilet seats for teachers. </t>
  </si>
  <si>
    <t xml:space="preserve">Are there toilet/s designed for persons with limited mobility? (These toilets must have a ramp, railing and adequate space for a wheelchair) </t>
  </si>
  <si>
    <t>How often are the sanitation facilities cleaned?</t>
  </si>
  <si>
    <t>Does the school burn its waste?</t>
  </si>
  <si>
    <t>How regular is garbage being collected from the school?</t>
  </si>
  <si>
    <t>Does the school have a materials recovery facility (MRF)?</t>
  </si>
  <si>
    <t>Do all toilets in the school have functional septic tank/s?</t>
  </si>
  <si>
    <t>In the past year, did the school experience any floods?</t>
  </si>
  <si>
    <t>Does the school adopt the following mechanisms to address stagnant water?</t>
  </si>
  <si>
    <t>Does the school canteen have a sanitary permit?</t>
  </si>
  <si>
    <t xml:space="preserve">Do food handlers practice the following food safety measures? </t>
  </si>
  <si>
    <t>Have all food handlers been oriented on food safety measures?</t>
  </si>
  <si>
    <t>Is there a regular supply of soap for handwashing?</t>
  </si>
  <si>
    <t xml:space="preserve">Do children perform individual handwashing the following times? </t>
  </si>
  <si>
    <t>How many times in a week is group toothbrushing with flouride conducted for all children in the school?</t>
  </si>
  <si>
    <t>Is there a regular supply of toothbrush and toothpaste for toothbrushing?</t>
  </si>
  <si>
    <t>What are the sources of funds for WinS Supplies? Please check all that apply.</t>
  </si>
  <si>
    <t>Where can learners avail of sanitary pads?</t>
  </si>
  <si>
    <t>Is there information on proper disposal of sanitary napkins in the girls toilet?</t>
  </si>
  <si>
    <t>Are detached toilets for girls within view of school building and people?</t>
  </si>
  <si>
    <t xml:space="preserve"> Is deworming done semi-annually?</t>
  </si>
  <si>
    <t>Which areas in the school have IEC materials for WinS?</t>
  </si>
  <si>
    <t>Is WinS a part of INSET?</t>
  </si>
  <si>
    <t>Are learning materials available for teaching WinS?</t>
  </si>
  <si>
    <t>Is WinS being advocated in the GPTCA assembly?</t>
  </si>
  <si>
    <t>What is the extent of student participation in supervising group toothbrushing</t>
  </si>
  <si>
    <t>Does the school have a canteen?</t>
  </si>
  <si>
    <t xml:space="preserve">Are there organized structures (eg. TWGs, student clubs)  to promote WinS? </t>
  </si>
  <si>
    <t>Total Enrolment</t>
  </si>
  <si>
    <t>Shift 1</t>
  </si>
  <si>
    <t>Shift 2</t>
  </si>
  <si>
    <t>Shift 3</t>
  </si>
  <si>
    <t>Total</t>
  </si>
  <si>
    <t>ProvideWater</t>
  </si>
  <si>
    <t>All the time</t>
  </si>
  <si>
    <t>No drinking water in the school</t>
  </si>
  <si>
    <t>Shared/ Communal</t>
  </si>
  <si>
    <t>Are segregated trash bins with cover available in the following areas?</t>
  </si>
  <si>
    <t>Canteens</t>
  </si>
  <si>
    <t>Offices</t>
  </si>
  <si>
    <t>Hallways</t>
  </si>
  <si>
    <t>Gardens</t>
  </si>
  <si>
    <t>Does the school have a compost pit for biodegradable waste?</t>
  </si>
  <si>
    <t>Does the school have a refuse pit for non-biodegradable waste?</t>
  </si>
  <si>
    <t>Do all food handlers in the school have health certificates?</t>
  </si>
  <si>
    <t>Are the repair and maintenance requirements for WASH facilities reflected in the following:</t>
  </si>
  <si>
    <t>PTA</t>
  </si>
  <si>
    <t>Is there a designated rest space/changing room for girls with menstrual discomfort?</t>
  </si>
  <si>
    <t>Are there planned and organized activities for advocating WinS to parents/stakeholders?</t>
  </si>
  <si>
    <t>Level</t>
  </si>
  <si>
    <t>Elementary</t>
  </si>
  <si>
    <t>Secondary</t>
  </si>
  <si>
    <t>Are handwashing facilities with soap available in the following areas?</t>
  </si>
  <si>
    <t>System</t>
  </si>
  <si>
    <t>Version</t>
  </si>
  <si>
    <t>wins_school_monitoring</t>
  </si>
  <si>
    <t>level</t>
  </si>
  <si>
    <t>survey_date</t>
  </si>
  <si>
    <t>sy</t>
  </si>
  <si>
    <t>school_name</t>
  </si>
  <si>
    <t>schid</t>
  </si>
  <si>
    <t>school_district</t>
  </si>
  <si>
    <t>address</t>
  </si>
  <si>
    <t xml:space="preserve">division </t>
  </si>
  <si>
    <t>school_head</t>
  </si>
  <si>
    <t>contact_number</t>
  </si>
  <si>
    <t>shift1_male</t>
  </si>
  <si>
    <t>shift1_female</t>
  </si>
  <si>
    <t>shift2_male</t>
  </si>
  <si>
    <t>shift2_female</t>
  </si>
  <si>
    <t>shift3_male</t>
  </si>
  <si>
    <t>shift3_female</t>
  </si>
  <si>
    <t>Is the drinking water provided by the school for free?</t>
  </si>
  <si>
    <t>water_bring</t>
  </si>
  <si>
    <t>water_boiled</t>
  </si>
  <si>
    <t>water_free</t>
  </si>
  <si>
    <t>water_others</t>
  </si>
  <si>
    <t>water_cleaning_available</t>
  </si>
  <si>
    <t>water_coordinate_test</t>
  </si>
  <si>
    <t>water_test</t>
  </si>
  <si>
    <t>toilet_secure</t>
  </si>
  <si>
    <t>toilet_wrapping_pads</t>
  </si>
  <si>
    <t>toilet_female_wash</t>
  </si>
  <si>
    <t>toilet_female_view</t>
  </si>
  <si>
    <t>toilet_disabled</t>
  </si>
  <si>
    <t>waste_burn</t>
  </si>
  <si>
    <t>trashbin_classroom</t>
  </si>
  <si>
    <t>trashbin_toilet</t>
  </si>
  <si>
    <t>trashbin_canteen</t>
  </si>
  <si>
    <t>trashbin_office</t>
  </si>
  <si>
    <t>trashbin_clinic</t>
  </si>
  <si>
    <t>trashbin_play</t>
  </si>
  <si>
    <t>trashbin_garden</t>
  </si>
  <si>
    <t>trashbin_hallway</t>
  </si>
  <si>
    <t>trashbin_gym</t>
  </si>
  <si>
    <t>segregation_practice</t>
  </si>
  <si>
    <t>segregation_policy</t>
  </si>
  <si>
    <t>refuse_pit</t>
  </si>
  <si>
    <t>materials_recovery</t>
  </si>
  <si>
    <t>flood</t>
  </si>
  <si>
    <t>stagnant_pumping</t>
  </si>
  <si>
    <t>stagnant_filling</t>
  </si>
  <si>
    <t>stagnant_soak_pit</t>
  </si>
  <si>
    <t>stagnant_treatment</t>
  </si>
  <si>
    <t>canteen</t>
  </si>
  <si>
    <t>canteen_permit</t>
  </si>
  <si>
    <t>safety_wearing</t>
  </si>
  <si>
    <t>safety_handwashing</t>
  </si>
  <si>
    <t>safety_segregation</t>
  </si>
  <si>
    <t>handwashing_times</t>
  </si>
  <si>
    <t>group_facility</t>
  </si>
  <si>
    <t>soap_supply</t>
  </si>
  <si>
    <t>soap_classroom</t>
  </si>
  <si>
    <t>soap_toilet</t>
  </si>
  <si>
    <t>soap_canteen</t>
  </si>
  <si>
    <t>soap_play</t>
  </si>
  <si>
    <t>soap_clinic</t>
  </si>
  <si>
    <t>soap_laboratory</t>
  </si>
  <si>
    <t>soap_agriculture</t>
  </si>
  <si>
    <t>handwashing_before_meals</t>
  </si>
  <si>
    <t>handwashing_after_toilet</t>
  </si>
  <si>
    <t>handwashing_after_play</t>
  </si>
  <si>
    <t>handwashing_after_soil</t>
  </si>
  <si>
    <t>toothbrushing_times</t>
  </si>
  <si>
    <t>toothbrushing_supply</t>
  </si>
  <si>
    <t>maintenance_sip</t>
  </si>
  <si>
    <t>maintenance_aip</t>
  </si>
  <si>
    <t>soap_mooe</t>
  </si>
  <si>
    <t>toothbrush_mooe</t>
  </si>
  <si>
    <t>toothpaste_mooe</t>
  </si>
  <si>
    <t>cleaning_mooe</t>
  </si>
  <si>
    <t>repair_mooe</t>
  </si>
  <si>
    <t>soap_private</t>
  </si>
  <si>
    <t>toothbrush_private</t>
  </si>
  <si>
    <t>toothpaste_private</t>
  </si>
  <si>
    <t>cleaning_private</t>
  </si>
  <si>
    <t>repair_private</t>
  </si>
  <si>
    <t>soap_pta</t>
  </si>
  <si>
    <t>toothbrush_pta</t>
  </si>
  <si>
    <t>toothpaste_pta</t>
  </si>
  <si>
    <t>cleaning_pta</t>
  </si>
  <si>
    <t>repair_pta</t>
  </si>
  <si>
    <t>soap_lgu</t>
  </si>
  <si>
    <t>toothbrush_lgu</t>
  </si>
  <si>
    <t>toothpaste_lgu</t>
  </si>
  <si>
    <t>cleaning_lgu</t>
  </si>
  <si>
    <t>repair_lgu</t>
  </si>
  <si>
    <t>soap_bring</t>
  </si>
  <si>
    <t>toothbrush_bring</t>
  </si>
  <si>
    <t>toothpaste_bring</t>
  </si>
  <si>
    <t>cleaning_bring</t>
  </si>
  <si>
    <t>pads_canteen</t>
  </si>
  <si>
    <t>pads_clinic</t>
  </si>
  <si>
    <t>pads_guidance</t>
  </si>
  <si>
    <t>pads_others</t>
  </si>
  <si>
    <t>pads_disposal</t>
  </si>
  <si>
    <t>mhm_iec_teacher</t>
  </si>
  <si>
    <t>mhm_iec_student</t>
  </si>
  <si>
    <t>rest_space</t>
  </si>
  <si>
    <t>deworming_semi</t>
  </si>
  <si>
    <t>deworming_number</t>
  </si>
  <si>
    <t>handwashing_after_cleaning</t>
  </si>
  <si>
    <t>organized_structures</t>
  </si>
  <si>
    <t>inset</t>
  </si>
  <si>
    <t>learning_materials</t>
  </si>
  <si>
    <t>advocate_gpta</t>
  </si>
  <si>
    <t>advocate_activity</t>
  </si>
  <si>
    <t>extra_curricular</t>
  </si>
  <si>
    <t>hygiene_bulletin</t>
  </si>
  <si>
    <t>hygiene_classroom</t>
  </si>
  <si>
    <t>hygiene_toilet</t>
  </si>
  <si>
    <t>hygiene_handwashing</t>
  </si>
  <si>
    <t>hygiene_canteen</t>
  </si>
  <si>
    <t>mhm_bulletin</t>
  </si>
  <si>
    <t>mhm_classroom</t>
  </si>
  <si>
    <t>mhm_toilet</t>
  </si>
  <si>
    <t>mhm_handwashing</t>
  </si>
  <si>
    <t>mhm_canteen</t>
  </si>
  <si>
    <t>sanitation_bulletin</t>
  </si>
  <si>
    <t>sanitation_classroom</t>
  </si>
  <si>
    <t>sanitation_toilet</t>
  </si>
  <si>
    <t>sanitation_handwashing</t>
  </si>
  <si>
    <t>sanitation_canteen</t>
  </si>
  <si>
    <t>food_bulletin</t>
  </si>
  <si>
    <t>food_classroom</t>
  </si>
  <si>
    <t>food_toilet</t>
  </si>
  <si>
    <t>food_handwashing</t>
  </si>
  <si>
    <t>food_canteen</t>
  </si>
  <si>
    <t>Gyms/Stage</t>
  </si>
  <si>
    <t>Class Adviser/Teacher</t>
  </si>
  <si>
    <t>Are there DepEd Approved Instructional materials on Menstrual Health for Teachers?</t>
  </si>
  <si>
    <t>Are there DepEd Approved Information, Education and Communications (IEC) materials on Menstrual Health for Students?</t>
  </si>
  <si>
    <t>What is the total number of students dewormed?</t>
  </si>
  <si>
    <t>Bulletin board</t>
  </si>
  <si>
    <t>Is WinS part of the co/extra-curricular program for students?</t>
  </si>
  <si>
    <t>water_filtered</t>
  </si>
  <si>
    <t>Water from an accessible water source is boiled</t>
  </si>
  <si>
    <t>Water from an accessible water source is filtered</t>
  </si>
  <si>
    <t>handwashing_teacher_led</t>
  </si>
  <si>
    <t>handwashing_student_assisted</t>
  </si>
  <si>
    <t>handwashing_student_led</t>
  </si>
  <si>
    <t>water_outlets</t>
  </si>
  <si>
    <t>toothbrushing_teacher_led</t>
  </si>
  <si>
    <t>toothbrushing_student_assisted</t>
  </si>
  <si>
    <t>toothbrushing_student_led</t>
  </si>
  <si>
    <t>pads_teacher</t>
  </si>
  <si>
    <t>water_drinking_none</t>
  </si>
  <si>
    <t>Yes, but supply is not regular</t>
  </si>
  <si>
    <t>water_drinking_all_time</t>
  </si>
  <si>
    <t>water_drinking_not_regular</t>
  </si>
  <si>
    <t>water_cleaning_certain_hours</t>
  </si>
  <si>
    <t>water_cleaning_certain_days</t>
  </si>
  <si>
    <t>toilet_cleaned_daily</t>
  </si>
  <si>
    <t>toilet_cleaned_twice_week</t>
  </si>
  <si>
    <t>toilet_cleaned_once_week</t>
  </si>
  <si>
    <t>toilet_cleaned_less_once</t>
  </si>
  <si>
    <t>garbage_collection_daily</t>
  </si>
  <si>
    <t>garbage_collection_two_week</t>
  </si>
  <si>
    <t>garbage_collection_one_week</t>
  </si>
  <si>
    <t>garbage_collection_none</t>
  </si>
  <si>
    <t>handlers_oriented_all</t>
  </si>
  <si>
    <t>handlers_oriented_some</t>
  </si>
  <si>
    <t>handlers_oriented_none</t>
  </si>
  <si>
    <t>septic_tank_all</t>
  </si>
  <si>
    <t>septic_tank_some</t>
  </si>
  <si>
    <t>septic_tank_none</t>
  </si>
  <si>
    <t>compost_pit</t>
  </si>
  <si>
    <t>Water</t>
  </si>
  <si>
    <t>Overall rating</t>
  </si>
  <si>
    <t>Water Indicators</t>
  </si>
  <si>
    <t>Water for Cleaning</t>
  </si>
  <si>
    <t>Water Testing</t>
  </si>
  <si>
    <t>Sanitation Indicators</t>
  </si>
  <si>
    <t>Security of Toilets</t>
  </si>
  <si>
    <t>Wash Facility for Toilets</t>
  </si>
  <si>
    <t>Wash Facility for MHM</t>
  </si>
  <si>
    <t>Safety of Detached Toilets</t>
  </si>
  <si>
    <t>Toilets for Disabled</t>
  </si>
  <si>
    <t>Daily Cleaning of Toilets</t>
  </si>
  <si>
    <t>Funding for Repairs</t>
  </si>
  <si>
    <t>Garbage Collection</t>
  </si>
  <si>
    <t>Septic Tank</t>
  </si>
  <si>
    <t>Drainage</t>
  </si>
  <si>
    <t>Food Handlers</t>
  </si>
  <si>
    <t>Hygiene Indicators</t>
  </si>
  <si>
    <t>Funding of Supplies</t>
  </si>
  <si>
    <t>Sanitary Pads</t>
  </si>
  <si>
    <t>IEC Materials for MHM</t>
  </si>
  <si>
    <t>Rest Space for MHM</t>
  </si>
  <si>
    <t>Deworming Indicators</t>
  </si>
  <si>
    <t>Semi-annual Deworming</t>
  </si>
  <si>
    <t>Pupils Dewormed</t>
  </si>
  <si>
    <t>IEC Materials</t>
  </si>
  <si>
    <t>Learning Materials</t>
  </si>
  <si>
    <t xml:space="preserve">Organized Teams </t>
  </si>
  <si>
    <t>INSET</t>
  </si>
  <si>
    <t>Advocacy for Parents</t>
  </si>
  <si>
    <t>Health Education Indicators</t>
  </si>
  <si>
    <t>WINS 3-STAR REPORT FOR SCHOOLS</t>
  </si>
  <si>
    <t>Waste Segre gation</t>
  </si>
  <si>
    <t>Available Soap</t>
  </si>
  <si>
    <t>Disposal of Sanitary Pads</t>
  </si>
  <si>
    <t>Extra Curricular Activities</t>
  </si>
  <si>
    <t>WINS 3-STAR CHARTS FOR SCHOOLS</t>
  </si>
  <si>
    <t>Grp Tooth brushing Activity</t>
  </si>
  <si>
    <t>Available Toothbrush &amp; paste</t>
  </si>
  <si>
    <t>Repair &amp; Main tenance</t>
  </si>
  <si>
    <t>Grp Handwash Activity</t>
  </si>
  <si>
    <t>Grp Handwash Facility</t>
  </si>
  <si>
    <t>Individual Handwash Facility</t>
  </si>
  <si>
    <t>Individual Handwash Practice</t>
  </si>
  <si>
    <t>Safe Drinking Water</t>
  </si>
  <si>
    <t>WINS 3-STAR MATRIX FOR SCHOOLS</t>
  </si>
  <si>
    <t>No Burning of Waste</t>
  </si>
  <si>
    <t>System for Flood</t>
  </si>
  <si>
    <t>Segre gated Bins</t>
  </si>
  <si>
    <r>
      <rPr>
        <sz val="11"/>
        <color rgb="FF00B0F0"/>
        <rFont val="Wingdings"/>
        <charset val="2"/>
      </rPr>
      <t>n</t>
    </r>
    <r>
      <rPr>
        <sz val="11"/>
        <color rgb="FF00B0F0"/>
        <rFont val="Calibri"/>
        <family val="2"/>
      </rPr>
      <t xml:space="preserve"> </t>
    </r>
    <r>
      <rPr>
        <sz val="11"/>
        <rFont val="Calibri"/>
        <family val="2"/>
      </rPr>
      <t>3 Stars</t>
    </r>
  </si>
  <si>
    <r>
      <rPr>
        <sz val="11"/>
        <color rgb="FF00CC00"/>
        <rFont val="Wingdings"/>
        <charset val="2"/>
      </rPr>
      <t>n</t>
    </r>
    <r>
      <rPr>
        <sz val="11"/>
        <color theme="1"/>
        <rFont val="Calibri"/>
        <family val="2"/>
      </rPr>
      <t xml:space="preserve"> 2 Stars</t>
    </r>
  </si>
  <si>
    <r>
      <rPr>
        <sz val="11"/>
        <color rgb="FFFFFF00"/>
        <rFont val="Wingdings"/>
        <charset val="2"/>
      </rPr>
      <t>n</t>
    </r>
    <r>
      <rPr>
        <sz val="11"/>
        <color theme="1"/>
        <rFont val="Calibri"/>
        <family val="2"/>
      </rPr>
      <t xml:space="preserve"> 1 Star</t>
    </r>
  </si>
  <si>
    <t>Legend</t>
  </si>
  <si>
    <r>
      <rPr>
        <sz val="11"/>
        <color rgb="FFFF0000"/>
        <rFont val="Wingdings"/>
        <charset val="2"/>
      </rPr>
      <t>n</t>
    </r>
    <r>
      <rPr>
        <sz val="11"/>
        <color theme="1"/>
        <rFont val="Calibri"/>
        <family val="2"/>
      </rPr>
      <t xml:space="preserve"> 0 Star</t>
    </r>
  </si>
  <si>
    <t xml:space="preserve">Remove Color </t>
  </si>
  <si>
    <t>Functional</t>
  </si>
  <si>
    <t>Not Functional</t>
  </si>
  <si>
    <t>toilet_light</t>
  </si>
  <si>
    <t>toilet_ventilation</t>
  </si>
  <si>
    <t>toilet_male_functional</t>
  </si>
  <si>
    <t>toilet_female_functional</t>
  </si>
  <si>
    <t>toilet_shared_functional</t>
  </si>
  <si>
    <t>toilet_male_notfunctional</t>
  </si>
  <si>
    <t>toilet_female_notfunctional</t>
  </si>
  <si>
    <t>toilet_shared_notfunctional</t>
  </si>
  <si>
    <t>W.S1-1. Safe drinking water is not provided by the school. Children are required to bring their own drinking water</t>
  </si>
  <si>
    <t xml:space="preserve">W.S2-1. Safe drinking water is provided by the school but supply is not regular. </t>
  </si>
  <si>
    <t>W.S3-1. Safe drinking water is provided for free for all children in the school at all times</t>
  </si>
  <si>
    <t>W.S1-2. The school coordinates with the relevant agency/office to test the quality of water.</t>
  </si>
  <si>
    <t>W.S2-2. The quality of water is tested once every calendar year in coordination with the relevant agency/office.</t>
  </si>
  <si>
    <t>W.S3-2. The quality of water is tested more than once every calendar year in coordination with the relevant agency/office.</t>
  </si>
  <si>
    <t xml:space="preserve">W.S1-3. Regardless of source, water for cleaning is available only for certain days of the week </t>
  </si>
  <si>
    <t>W.S2-3. Regardless of source, water for cleaning is available on a daily basis but only on certain hours of the day.</t>
  </si>
  <si>
    <t>W.S3-3. Regardless of source, water for cleaning is available on a daily basis in all school hours</t>
  </si>
  <si>
    <t xml:space="preserve">S.S1-1. The overall pupil to toilet seat ratio is 101 or higher and there are at least two functional and clean toilets that are gender segregated </t>
  </si>
  <si>
    <t>S.S2-1. The overall pupil to toilet seat ratio is 51-100 students and there are more than two functional and clean toilets that are gender segregated as needed based on enrolment</t>
  </si>
  <si>
    <t>S.S3-1. The functional pupil to toilet seat ratio (by gender) is 50 or less</t>
  </si>
  <si>
    <t xml:space="preserve">S.S1-2. Toilets are secure, private, with door and lock, have lighting, adequate ventilation and wrapping materials for used pads </t>
  </si>
  <si>
    <t xml:space="preserve">S.S2-2. Toilets are secure, private, with door and lock, have lighting, adequate ventilation and wrapping materials for used pads </t>
  </si>
  <si>
    <t xml:space="preserve">S.S3-2. Toilets are secure, private, with door and lock, have lighting, adequate ventilation and wrapping materials for used pads </t>
  </si>
  <si>
    <t xml:space="preserve">S.S2-3. There is a handwashing facility with soap within or near the toilets </t>
  </si>
  <si>
    <t xml:space="preserve">S.S3-3. There is a handwashing facility with soap within or near the toilets </t>
  </si>
  <si>
    <t>S.S2-4. There is a facility for washing IN at least one female toilet for MHM</t>
  </si>
  <si>
    <t>S.S3-4. There is a facility for washing IN female toilets for MHM</t>
  </si>
  <si>
    <t>S.S2-5. Detached Toilets are located within view of school building and people</t>
  </si>
  <si>
    <t>S.S3-5. Detached Toilets are located within view of school building and people</t>
  </si>
  <si>
    <t>S.S3-6. There is a toilet accessible to persons with limited mobility</t>
  </si>
  <si>
    <t xml:space="preserve">S.S1-7. Daily cleaning of toilets, and handwashing and other water facilities </t>
  </si>
  <si>
    <t xml:space="preserve">S.S2-7. Daily cleaning of toilets, and handwashing and other water facilities </t>
  </si>
  <si>
    <t xml:space="preserve">S.S3-7. Daily cleaning of toilets, and handwashing and other water facilities </t>
  </si>
  <si>
    <t xml:space="preserve">S.S1-8. Funding for regular maintenance and repair of toilets, handwashing and other water facilities comes from the regular school budget (i.e. MOOE) and/or other DepEd funds </t>
  </si>
  <si>
    <t>S.S2-8. Funding for regular maintenance and repair of toilets, handwashing and other water facilities comes from the regular school budget (i.e. MOOE) and/or other DepEd funds</t>
  </si>
  <si>
    <t>S.S3-8. Funding for regular maintenance and repair of toilets, handwashing and other water facilities comes from the regular school budget (i.e. MOOE) and/or other DepEd funds</t>
  </si>
  <si>
    <t>S.S1-9.   No burning of waste</t>
  </si>
  <si>
    <t xml:space="preserve">S.S2-9.   No burning of waste </t>
  </si>
  <si>
    <t>S.S3-9.   No burning of waste</t>
  </si>
  <si>
    <t>S.S1-10. Segregated trash bins with cover are available in all classrooms</t>
  </si>
  <si>
    <t xml:space="preserve">S.S2-10. Segregated trash bins with cover are available in all classrooms and toilets </t>
  </si>
  <si>
    <t>S.S3-10. Segregated trash bins with cover are available in all classrooms, toilets, canteens, offices, clinics, play areas, gardens, hallways, and gyms</t>
  </si>
  <si>
    <t>S.S1-11. Waste segregation is practiced</t>
  </si>
  <si>
    <t>S.S2-11. Waste segregation is practiced</t>
  </si>
  <si>
    <t>S.S3-11. Comprehensive waste segregation system is in place, such as policy, facility and practice, and sanctions for non-compliance</t>
  </si>
  <si>
    <t>S.S1-12. No garbage collection services BUT school has compost facility for biodegradable waste and safe disposal of non-biodegradable waste such as properly fenced refuse pits (burying).</t>
  </si>
  <si>
    <t>S.S2-12. Garbage is collected at least once a week OR school has compost facility for biodegradable waste and safe disposal of non-biodegradable waste such as properly fenced refuse pits (burying).</t>
  </si>
  <si>
    <t>S.S3-12. Garbage is collected at least twice a week OR a school has compost facility for biodegradable waste and materials recovery facility (MRF) for recyclable waste.</t>
  </si>
  <si>
    <t>S.S1-13. Functional Septic tank is available for all toilets</t>
  </si>
  <si>
    <t>S.S2-13. Functional Septic tank is available for all toilets</t>
  </si>
  <si>
    <t>S.S3-13. Functional Septic tank is available for all toilets</t>
  </si>
  <si>
    <t>S.S1-14. Functional drainage from kitchen and wash areas to ensure that there is no stagnant water in the school</t>
  </si>
  <si>
    <t>S.S2-14. Functional drainage from kitchen and wash areas to ensure that there is no stagnant water in the school</t>
  </si>
  <si>
    <t xml:space="preserve">S.S3-14. Functional drainage from kitchen and wash areas to ensure that there is no stagnant water in the school </t>
  </si>
  <si>
    <t>S.S3-15. In case the school is in a flood prone area, a system(policy, practices, people, process, &amp;structure)is in place to ensure that there is no stagnant water in the school.</t>
  </si>
  <si>
    <t>S.S1-16. All food handlers are oriented and practice food safety measures</t>
  </si>
  <si>
    <t>S.S2-16. All food handlers should have a health certificate</t>
  </si>
  <si>
    <t>S.S3-16. All food handlers should have a health certificate and for schools with canteen, an updated sanitary permit</t>
  </si>
  <si>
    <t>H.S1-1. Daily SUPERVISED group handwashing with soap for all elementary pupils is led by teacher/s</t>
  </si>
  <si>
    <t xml:space="preserve">H.S2-1. Daily SUPERVISED group handwashing with soap for all elementary pupils is led by  a mix of teachers and students </t>
  </si>
  <si>
    <t>H.S3-1. Daily SUPERVISED group handwashing with soap for all elementary pupils is led by student leaders</t>
  </si>
  <si>
    <t>H.S1-2. Regular supply of soap for handwashing</t>
  </si>
  <si>
    <t>H.S2-2. Regular supply of soap for handwashing</t>
  </si>
  <si>
    <t>H.S3-2. Regular supply of soap for handwashing</t>
  </si>
  <si>
    <t>H.S1-3. At least one functional group handwashing  facility with soap</t>
  </si>
  <si>
    <t>H.S2-3. Pupil to group handwashing facility with soap ratio of 1:200 for one shift</t>
  </si>
  <si>
    <t xml:space="preserve">H.S3-3. Pupil to group facility with soap ratio of 1:100 for one shift </t>
  </si>
  <si>
    <t>H.S3-4. There are individual handwashing facilities with soap in strategic areas in the school (e.g. near canteen/eating areas, play areas and toilets)</t>
  </si>
  <si>
    <t>H.S3-5. The practice of individual handwashing with soap is done during critical times</t>
  </si>
  <si>
    <t>H.S1-6. Daily SUPERVISED activity of tooth brushing with fluoride toothpaste for all children is led by teacher/s</t>
  </si>
  <si>
    <t xml:space="preserve">H.S2-6. Daily SUPERVISED activity of tooth brushing with fluoride toothpaste for all children is led by a mix of teachers and students </t>
  </si>
  <si>
    <t>H.S3-6. Daily SUPERVISED activity of tooth brushing with fluoride toothpaste for all children is led by student leaders</t>
  </si>
  <si>
    <t xml:space="preserve">H.S1-7. Regular supply of fluoride toothpaste for the tooth brushing activity </t>
  </si>
  <si>
    <t>H.S2-7. Regular supply of fluoride toothpaste for the tooth brushing activity</t>
  </si>
  <si>
    <t>H.S3-7. Regular supply of fluoride toothpaste for the tooth brushing activity</t>
  </si>
  <si>
    <t xml:space="preserve">H.S1-8. Repair and maintenance requirements are reflected in the School Improvement Plan (SIP) and Annual Improvement Plan (AIP) </t>
  </si>
  <si>
    <t>H.S2-8. Repair and maintenance requirements are reflected in the School Improvement Plan (SIP) and Annual Improvement Plan (AIP)</t>
  </si>
  <si>
    <t>H.S3-8. Repair and maintenance requirements are reflected in the School Improvement Plan (SIP) and Annual Improvement Plan (AIP)</t>
  </si>
  <si>
    <t>H.S1-9. Soap, toothbrush and toothpaste are provided by the school through DepEd funds only (ie. MOOE)</t>
  </si>
  <si>
    <t>H.S2-9. Soap, toothbrush and toothpaste are provided by the school through DepEd funds complemented by external partners</t>
  </si>
  <si>
    <t>H.S3-9. Soap, toothbrush and toothpaste are provided by the school through DepEd funds complemented by external partners</t>
  </si>
  <si>
    <t>H.S1-10. Sanitary pads are accessible in the school</t>
  </si>
  <si>
    <t>H.S2-10. Sanitary pads are accessible in the school</t>
  </si>
  <si>
    <t>H.S3-10. Sanitary pads are accessible in the school</t>
  </si>
  <si>
    <t>H.S2-11. There is information on proper disposal of sanitary pads in the girls toilet</t>
  </si>
  <si>
    <t>H.S3-11. There is information on proper disposal of sanitary pads in the girls toilet</t>
  </si>
  <si>
    <t>H.S2-12. DepEd approved IEC materials on menstrual hygiene management for teachers are available</t>
  </si>
  <si>
    <t>H.S3-12. DepEd approved IEC materials on menstrual hygiene management for teachers and students are available</t>
  </si>
  <si>
    <t>H.S3-13. There is a rest space/changing room for MHM that is secure, private and comfortable (not necessarily in the CR)</t>
  </si>
  <si>
    <t>D.S1-2. 50-74 %of school students were dewormed</t>
  </si>
  <si>
    <t>D.S2-2. 75-84% of school students were dewormed</t>
  </si>
  <si>
    <t>D.S3-2. At least 85% of school students were dewormed</t>
  </si>
  <si>
    <t>HE.S1-1. IEC materials are present only in the schoolboard or wall</t>
  </si>
  <si>
    <t>HE.S2-1. IEC materials are present in classrooms and strategic places (eg. canteen, play areas, toilets, handwashing facilities, etc.)</t>
  </si>
  <si>
    <t>HE.S3-1. IEC materials are present in classrooms and strategic places (eg. canteen, play areas, toilets, handwashing facilities, etc.)</t>
  </si>
  <si>
    <t xml:space="preserve">HE.S1-2. There are organized teams and accountable units to promote WinS (e.g. TWGs, student clubs) </t>
  </si>
  <si>
    <t>HE.S2-2. There are organized teams and accountable units to promote WinS (e.g. TWGs, student clubs)</t>
  </si>
  <si>
    <t>HE.S3-2. There are organized teams and accountable units to promote WinS (e.g. TWGs, student clubs)</t>
  </si>
  <si>
    <t>HE.S2-3. WinS is part of INSET</t>
  </si>
  <si>
    <t>HE.S3-3. WinS is part of INSET</t>
  </si>
  <si>
    <t>HE.S3-4. Available WinS learning / instructional materials in support of teaching WinS in the K to 12 curriculum</t>
  </si>
  <si>
    <t>HE.S2-5. Advocacy is done during GPTA assembly</t>
  </si>
  <si>
    <t xml:space="preserve">HE.S3-5. There are planned and organized activities for parents/stakeholders for learning and advocating WinS </t>
  </si>
  <si>
    <t>HE.S2-6. WinS is part of the extra-curricular program of students</t>
  </si>
  <si>
    <t>HE.S3-6. WinS is part of the extra-curricular program of students</t>
  </si>
  <si>
    <t>Pupil Toilet Ratio</t>
  </si>
  <si>
    <t xml:space="preserve">Segre gated Toilets </t>
  </si>
  <si>
    <t>D.S1-1. Deworming is done semi-annually, in the presence of a health personnel, in coordination with DOH, and with parent’s consent</t>
  </si>
  <si>
    <t>D.S2-1. Deworming is done semi-annually, in the presence of a health personnel, in coordination with DOH, and with parent’s consent</t>
  </si>
  <si>
    <t>D.S3-1. Deworming is done semi-annually, in the presence of a health personnel, in coordination with DOH, and with parent’s consent</t>
  </si>
  <si>
    <t>functional_drainage</t>
  </si>
  <si>
    <t>handlers_certificate_all</t>
  </si>
  <si>
    <t>handlers_certificate_some</t>
  </si>
  <si>
    <t>handlers_certificate_none</t>
  </si>
  <si>
    <t xml:space="preserve">Does the school provide drinking water? </t>
  </si>
  <si>
    <t>Did the test result show that water is safe for drinking</t>
  </si>
  <si>
    <t>What other mechanisms are used to ensure that drinking water in school is safe? Check all applicable</t>
  </si>
  <si>
    <t>If drinking water is from a refilling station, the school requires a water quality certificate</t>
  </si>
  <si>
    <t>Are all functional toilets secure, private and have door with lock?</t>
  </si>
  <si>
    <t>Do all functional toilets have lighting? (incudes natural light or alternative sources)</t>
  </si>
  <si>
    <t>Do all functional toilets have adequate ventilation?</t>
  </si>
  <si>
    <t>Do all exclusively female toilets have wrapping materials and trash bins for used sanitary pads?</t>
  </si>
  <si>
    <t>How many exclusively female toilets have a washing facility inside the toilet?</t>
  </si>
  <si>
    <t xml:space="preserve">Are the students segregating their solid waste properly? </t>
  </si>
  <si>
    <t>Does the school have policies/sanctions which promote the practice of solid waste segregation?</t>
  </si>
  <si>
    <t>Does the school have a functional drainage from the kitchen and all wash areas to ensure that there is no stagnant water?</t>
  </si>
  <si>
    <t>Soak pit (a water catchment area which contains gravel, sand, or other materials that absorbs water to prevent pooling)</t>
  </si>
  <si>
    <t>Treatment of stagnant water to prevent breeding of mosquitoes (use of larvicides, fish, etc.)</t>
  </si>
  <si>
    <t>Not applicable (e.g., no stagnant water because of sandy soil)</t>
  </si>
  <si>
    <t>Separate the storage of dry and wet food materials</t>
  </si>
  <si>
    <t xml:space="preserve">How many times in a week is supervised group handwashing with soap conducted for all children in the school? (Write 0 if this is not done in school.) </t>
  </si>
  <si>
    <t>What is the extent of student participation in supervising group handwashing? Check all applicable</t>
  </si>
  <si>
    <t>How many handwashing facilities are available in your school?</t>
  </si>
  <si>
    <t>Number of Facilities</t>
  </si>
  <si>
    <t>Number of faucets/ water outlets/ punch holes</t>
  </si>
  <si>
    <t xml:space="preserve">Individual handwashing facility </t>
  </si>
  <si>
    <t xml:space="preserve">* A group handwashing facility should have at least:
   - 10 water outlets in the elementary level, and 
   -  4 water outlets in the secondary level
Note: A water outlet may be any opening where water comes out for handwashing (eg. Faucets, punch pipes, etc.)
</t>
  </si>
  <si>
    <t>Group handwashing facility *</t>
  </si>
  <si>
    <t xml:space="preserve">After playing </t>
  </si>
  <si>
    <t>After cleaning activities activities/handling garbage</t>
  </si>
  <si>
    <t>Before meals/eating/handling food</t>
  </si>
  <si>
    <t>Voluntary donations from internal staff</t>
  </si>
  <si>
    <t xml:space="preserve">Private/ Individual donations </t>
  </si>
  <si>
    <t>2017-05-25</t>
  </si>
  <si>
    <t>water_safe</t>
  </si>
  <si>
    <t>stagnant_not_applicable</t>
  </si>
  <si>
    <t>individual_facility</t>
  </si>
  <si>
    <t>soap_internal</t>
  </si>
  <si>
    <t>toothbrush_internal</t>
  </si>
  <si>
    <t>toothpaste_internal</t>
  </si>
  <si>
    <t>cleaning_internal</t>
  </si>
  <si>
    <t>repair_internal</t>
  </si>
  <si>
    <t>water_refilling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</si>
</sst>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
  </numFmts>
  <fonts count="21" x14ac:knownFonts="1">
    <font>
      <sz val="11"/>
      <color theme="1"/>
      <name val="Calibri"/>
      <family val="2"/>
      <scheme val="minor"/>
    </font>
    <font>
      <b/>
      <sz val="11"/>
      <color theme="1"/>
      <name val="Calibri"/>
      <family val="2"/>
      <scheme val="minor"/>
    </font>
    <font>
      <b/>
      <sz val="16"/>
      <color theme="1"/>
      <name val="Calibri"/>
      <family val="2"/>
      <scheme val="minor"/>
    </font>
    <font>
      <i/>
      <sz val="11"/>
      <color rgb="FFFF0000"/>
      <name val="Calibri"/>
      <family val="2"/>
      <scheme val="minor"/>
    </font>
    <font>
      <sz val="11"/>
      <color theme="1"/>
      <name val="Wingdings"/>
      <charset val="2"/>
    </font>
    <font>
      <sz val="11"/>
      <color theme="0"/>
      <name val="Calibri"/>
      <family val="2"/>
      <scheme val="minor"/>
    </font>
    <font>
      <b/>
      <sz val="11"/>
      <name val="Calibri"/>
      <family val="2"/>
      <scheme val="minor"/>
    </font>
    <font>
      <b/>
      <sz val="12"/>
      <color theme="1"/>
      <name val="Calibri"/>
      <family val="2"/>
      <scheme val="minor"/>
    </font>
    <font>
      <sz val="11"/>
      <color theme="1"/>
      <name val="Calibri"/>
      <family val="2"/>
    </font>
    <font>
      <sz val="11"/>
      <color rgb="FF00B0F0"/>
      <name val="Wingdings"/>
      <charset val="2"/>
    </font>
    <font>
      <sz val="11"/>
      <color rgb="FF00B0F0"/>
      <name val="Calibri"/>
      <family val="2"/>
    </font>
    <font>
      <sz val="11"/>
      <name val="Calibri"/>
      <family val="2"/>
    </font>
    <font>
      <sz val="11"/>
      <color rgb="FF00CC00"/>
      <name val="Wingdings"/>
      <charset val="2"/>
    </font>
    <font>
      <sz val="11"/>
      <color rgb="FFFFFF00"/>
      <name val="Wingdings"/>
      <charset val="2"/>
    </font>
    <font>
      <sz val="11"/>
      <color rgb="FFFF0000"/>
      <name val="Wingdings"/>
      <charset val="2"/>
    </font>
    <font>
      <u/>
      <sz val="11"/>
      <color theme="1"/>
      <name val="Calibri"/>
      <family val="2"/>
      <scheme val="minor"/>
    </font>
    <font>
      <b/>
      <sz val="11"/>
      <color theme="0"/>
      <name val="Calibri"/>
      <family val="2"/>
      <scheme val="minor"/>
    </font>
    <font>
      <sz val="11"/>
      <color theme="1"/>
      <name val="Calibri"/>
      <family val="2"/>
      <scheme val="minor"/>
    </font>
    <font>
      <u/>
      <sz val="11"/>
      <color theme="10"/>
      <name val="Calibri"/>
      <family val="2"/>
      <scheme val="minor"/>
    </font>
    <font>
      <sz val="11"/>
      <name val="Calibri"/>
      <family val="2"/>
      <scheme val="minor"/>
    </font>
    <font>
      <sz val="8"/>
      <color indexed="81"/>
      <name val="Tahoma"/>
      <family val="2"/>
    </font>
  </fonts>
  <fills count="9">
    <fill>
      <patternFill patternType="none"/>
    </fill>
    <fill>
      <patternFill patternType="gray125"/>
    </fill>
    <fill>
      <patternFill patternType="solid">
        <fgColor rgb="FFF5F6CE"/>
        <bgColor indexed="64"/>
      </patternFill>
    </fill>
    <fill>
      <patternFill patternType="solid">
        <fgColor theme="0"/>
        <bgColor indexed="64"/>
      </patternFill>
    </fill>
    <fill>
      <patternFill patternType="solid">
        <fgColor rgb="FFFFC000"/>
        <bgColor indexed="64"/>
      </patternFill>
    </fill>
    <fill>
      <patternFill patternType="solid">
        <fgColor theme="2" tint="-0.499984740745262"/>
        <bgColor indexed="64"/>
      </patternFill>
    </fill>
    <fill>
      <patternFill patternType="solid">
        <fgColor rgb="FF04508C"/>
        <bgColor indexed="64"/>
      </patternFill>
    </fill>
    <fill>
      <patternFill patternType="solid">
        <fgColor theme="2"/>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18" fillId="0" borderId="0" applyNumberFormat="0" applyFill="0" applyBorder="0" applyAlignment="0" applyProtection="0"/>
  </cellStyleXfs>
  <cellXfs count="149">
    <xf numFmtId="0" fontId="0" fillId="0" borderId="0" xfId="0"/>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left" vertical="top" wrapText="1"/>
    </xf>
    <xf numFmtId="0" fontId="0" fillId="2" borderId="1" xfId="0" applyFill="1" applyBorder="1" applyAlignment="1">
      <alignment vertical="top"/>
    </xf>
    <xf numFmtId="0" fontId="0" fillId="3" borderId="1" xfId="0" applyNumberFormat="1" applyFill="1" applyBorder="1" applyAlignment="1" applyProtection="1">
      <alignment vertical="top"/>
      <protection locked="0"/>
    </xf>
    <xf numFmtId="0" fontId="0" fillId="2" borderId="0" xfId="0" applyFill="1" applyAlignment="1">
      <alignment vertical="top"/>
    </xf>
    <xf numFmtId="0" fontId="3" fillId="2" borderId="0" xfId="0" applyFont="1" applyFill="1" applyAlignment="1">
      <alignment vertical="top"/>
    </xf>
    <xf numFmtId="0" fontId="0" fillId="2" borderId="0" xfId="0" applyFill="1" applyBorder="1" applyAlignment="1">
      <alignment vertical="top"/>
    </xf>
    <xf numFmtId="0" fontId="1" fillId="2" borderId="0" xfId="0" applyFont="1" applyFill="1" applyAlignment="1">
      <alignment vertical="top"/>
    </xf>
    <xf numFmtId="0" fontId="0" fillId="2" borderId="0" xfId="0" applyFill="1" applyAlignment="1">
      <alignment vertical="top"/>
    </xf>
    <xf numFmtId="0" fontId="1" fillId="2" borderId="0" xfId="0" applyFont="1" applyFill="1" applyBorder="1" applyAlignment="1">
      <alignment vertical="top"/>
    </xf>
    <xf numFmtId="0" fontId="0" fillId="2" borderId="1" xfId="0" applyFill="1" applyBorder="1" applyAlignment="1">
      <alignment horizontal="center" vertical="top" wrapText="1"/>
    </xf>
    <xf numFmtId="0" fontId="4" fillId="0" borderId="0" xfId="0" applyFont="1" applyAlignment="1">
      <alignment vertical="top"/>
    </xf>
    <xf numFmtId="0" fontId="0" fillId="4" borderId="2" xfId="0" applyFill="1" applyBorder="1" applyAlignment="1">
      <alignment horizontal="left" vertical="top" wrapText="1"/>
    </xf>
    <xf numFmtId="0" fontId="0" fillId="0" borderId="0" xfId="0" applyAlignment="1">
      <alignment horizontal="center" vertical="top"/>
    </xf>
    <xf numFmtId="0" fontId="1" fillId="0" borderId="0" xfId="0" applyFont="1" applyFill="1" applyAlignment="1">
      <alignment vertical="top"/>
    </xf>
    <xf numFmtId="0" fontId="0" fillId="0" borderId="0" xfId="0" applyFill="1" applyAlignment="1">
      <alignment vertical="top"/>
    </xf>
    <xf numFmtId="0" fontId="1" fillId="0" borderId="0" xfId="0" applyFont="1" applyFill="1" applyBorder="1" applyAlignment="1">
      <alignment vertical="top"/>
    </xf>
    <xf numFmtId="0" fontId="1" fillId="0" borderId="0" xfId="0" applyFont="1" applyFill="1" applyAlignment="1">
      <alignment horizontal="right" vertical="top"/>
    </xf>
    <xf numFmtId="0" fontId="1" fillId="0" borderId="0" xfId="0" applyFont="1" applyFill="1" applyBorder="1" applyAlignment="1">
      <alignment horizontal="right" vertical="top"/>
    </xf>
    <xf numFmtId="3" fontId="1" fillId="0" borderId="1" xfId="0" applyNumberFormat="1" applyFont="1" applyFill="1" applyBorder="1" applyAlignment="1">
      <alignment horizontal="center" vertical="top" wrapText="1"/>
    </xf>
    <xf numFmtId="3" fontId="1" fillId="0" borderId="3" xfId="0" applyNumberFormat="1" applyFont="1" applyFill="1" applyBorder="1" applyAlignment="1">
      <alignment horizontal="centerContinuous" vertical="top" wrapText="1"/>
    </xf>
    <xf numFmtId="3" fontId="1" fillId="0" borderId="2" xfId="0" applyNumberFormat="1" applyFont="1" applyFill="1" applyBorder="1" applyAlignment="1">
      <alignment horizontal="centerContinuous" vertical="top" wrapText="1"/>
    </xf>
    <xf numFmtId="0" fontId="1" fillId="0" borderId="1" xfId="0" applyFont="1" applyFill="1" applyBorder="1" applyAlignment="1">
      <alignment horizontal="center" vertical="top"/>
    </xf>
    <xf numFmtId="0" fontId="0" fillId="0" borderId="6" xfId="0" applyFill="1" applyBorder="1" applyAlignment="1">
      <alignment vertical="top" wrapText="1"/>
    </xf>
    <xf numFmtId="0" fontId="0" fillId="0" borderId="2" xfId="0" applyFill="1" applyBorder="1" applyAlignment="1">
      <alignment horizontal="left" vertical="top" wrapText="1"/>
    </xf>
    <xf numFmtId="0" fontId="0" fillId="0" borderId="2" xfId="0" applyFill="1" applyBorder="1" applyAlignment="1">
      <alignment vertical="top" wrapText="1"/>
    </xf>
    <xf numFmtId="0" fontId="0" fillId="0" borderId="7" xfId="0" applyFill="1" applyBorder="1" applyAlignment="1">
      <alignment vertical="top" wrapText="1"/>
    </xf>
    <xf numFmtId="0" fontId="0" fillId="0" borderId="6" xfId="0" applyFont="1" applyFill="1" applyBorder="1" applyAlignment="1">
      <alignment vertical="top" wrapText="1"/>
    </xf>
    <xf numFmtId="0" fontId="0" fillId="0" borderId="7" xfId="0" applyFont="1" applyFill="1" applyBorder="1" applyAlignment="1">
      <alignment vertical="top" wrapText="1"/>
    </xf>
    <xf numFmtId="0" fontId="0" fillId="0" borderId="5" xfId="0" applyFont="1" applyFill="1" applyBorder="1" applyAlignment="1">
      <alignment vertical="top" wrapText="1"/>
    </xf>
    <xf numFmtId="0" fontId="1" fillId="0" borderId="0" xfId="0" applyNumberFormat="1" applyFont="1" applyFill="1" applyAlignment="1">
      <alignment vertical="top"/>
    </xf>
    <xf numFmtId="0" fontId="1" fillId="0" borderId="0" xfId="0" applyFont="1" applyFill="1" applyAlignment="1">
      <alignment horizontal="centerContinuous" vertical="top"/>
    </xf>
    <xf numFmtId="0" fontId="0" fillId="0" borderId="0" xfId="0" applyFill="1" applyAlignment="1">
      <alignment horizontal="centerContinuous" vertical="top"/>
    </xf>
    <xf numFmtId="0" fontId="1" fillId="0" borderId="0" xfId="0" applyFont="1"/>
    <xf numFmtId="0" fontId="0" fillId="4" borderId="1" xfId="0" applyFill="1" applyBorder="1" applyAlignment="1">
      <alignment vertical="top"/>
    </xf>
    <xf numFmtId="0" fontId="0" fillId="3" borderId="1" xfId="0" applyFill="1" applyBorder="1" applyAlignment="1">
      <alignment vertical="top"/>
    </xf>
    <xf numFmtId="0" fontId="0" fillId="5" borderId="1" xfId="0" applyFill="1" applyBorder="1" applyAlignment="1">
      <alignment vertical="top"/>
    </xf>
    <xf numFmtId="0" fontId="0" fillId="2" borderId="4" xfId="0" applyFill="1" applyBorder="1" applyAlignment="1">
      <alignment horizontal="left" vertical="top" wrapText="1" indent="2"/>
    </xf>
    <xf numFmtId="0" fontId="0" fillId="2" borderId="4" xfId="0" applyFill="1" applyBorder="1" applyAlignment="1">
      <alignment horizontal="left" vertical="top" wrapText="1"/>
    </xf>
    <xf numFmtId="0" fontId="0" fillId="2" borderId="4" xfId="0" applyFill="1" applyBorder="1" applyAlignment="1">
      <alignment vertical="top" wrapText="1"/>
    </xf>
    <xf numFmtId="0" fontId="0" fillId="2" borderId="2" xfId="0" applyFill="1" applyBorder="1" applyAlignment="1">
      <alignment vertical="top" wrapText="1"/>
    </xf>
    <xf numFmtId="0" fontId="0" fillId="2" borderId="4" xfId="0" applyFill="1" applyBorder="1" applyAlignment="1">
      <alignment vertical="top"/>
    </xf>
    <xf numFmtId="0" fontId="0" fillId="2" borderId="0" xfId="0" applyFill="1" applyAlignment="1">
      <alignment horizontal="left" vertical="top" wrapText="1"/>
    </xf>
    <xf numFmtId="0" fontId="0" fillId="2" borderId="0" xfId="0" applyFill="1" applyBorder="1" applyAlignment="1">
      <alignment horizontal="left" vertical="top" wrapText="1"/>
    </xf>
    <xf numFmtId="0" fontId="0" fillId="3" borderId="1" xfId="0" applyNumberFormat="1" applyFill="1" applyBorder="1" applyAlignment="1" applyProtection="1">
      <alignment vertical="top" wrapText="1"/>
      <protection locked="0"/>
    </xf>
    <xf numFmtId="165" fontId="1" fillId="2" borderId="0" xfId="0" applyNumberFormat="1" applyFont="1"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Border="1" applyAlignment="1">
      <alignment horizontal="left" vertical="top"/>
    </xf>
    <xf numFmtId="165" fontId="0" fillId="2" borderId="3" xfId="0" applyNumberFormat="1" applyFill="1" applyBorder="1" applyAlignment="1">
      <alignment horizontal="left" vertical="top" wrapText="1"/>
    </xf>
    <xf numFmtId="165" fontId="1" fillId="2" borderId="0" xfId="0" applyNumberFormat="1" applyFont="1" applyFill="1" applyBorder="1" applyAlignment="1">
      <alignment horizontal="left" vertical="top"/>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9" xfId="0" applyFill="1" applyBorder="1" applyAlignment="1">
      <alignment vertical="top" wrapText="1"/>
    </xf>
    <xf numFmtId="0" fontId="0" fillId="0" borderId="10" xfId="0" applyFill="1" applyBorder="1" applyAlignment="1">
      <alignment horizontal="left" vertical="top" wrapText="1"/>
    </xf>
    <xf numFmtId="0" fontId="0" fillId="0" borderId="10" xfId="0" applyFill="1" applyBorder="1" applyAlignment="1">
      <alignment vertical="top" wrapText="1"/>
    </xf>
    <xf numFmtId="0" fontId="0" fillId="4" borderId="0" xfId="0" applyFill="1" applyAlignment="1">
      <alignment horizontal="centerContinuous" vertical="top"/>
    </xf>
    <xf numFmtId="0" fontId="0" fillId="4" borderId="0" xfId="0" applyFill="1" applyAlignment="1">
      <alignment vertical="top"/>
    </xf>
    <xf numFmtId="0" fontId="1" fillId="4" borderId="0" xfId="0" applyFont="1" applyFill="1" applyBorder="1" applyAlignment="1">
      <alignment horizontal="right" vertical="top"/>
    </xf>
    <xf numFmtId="3" fontId="1" fillId="4" borderId="2" xfId="0" applyNumberFormat="1" applyFont="1" applyFill="1" applyBorder="1" applyAlignment="1">
      <alignment horizontal="centerContinuous" vertical="top" wrapText="1"/>
    </xf>
    <xf numFmtId="0" fontId="0" fillId="4" borderId="8" xfId="0" applyFill="1" applyBorder="1" applyAlignment="1">
      <alignment horizontal="left" vertical="top" wrapText="1"/>
    </xf>
    <xf numFmtId="0" fontId="0" fillId="4" borderId="9" xfId="0" applyFill="1" applyBorder="1" applyAlignment="1">
      <alignment horizontal="left" vertical="top" wrapText="1"/>
    </xf>
    <xf numFmtId="0" fontId="0" fillId="4" borderId="10" xfId="0" applyFill="1" applyBorder="1" applyAlignment="1">
      <alignment horizontal="left" vertical="top" wrapText="1"/>
    </xf>
    <xf numFmtId="0" fontId="0" fillId="4"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4"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0" xfId="0" applyFont="1" applyFill="1" applyBorder="1" applyAlignment="1">
      <alignment vertical="top" wrapText="1"/>
    </xf>
    <xf numFmtId="0" fontId="0" fillId="4" borderId="10" xfId="0" applyFont="1" applyFill="1" applyBorder="1" applyAlignment="1">
      <alignment horizontal="left" vertical="top" wrapText="1"/>
    </xf>
    <xf numFmtId="165" fontId="2" fillId="6" borderId="0" xfId="0" applyNumberFormat="1" applyFont="1" applyFill="1" applyAlignment="1">
      <alignment horizontal="left" vertical="top"/>
    </xf>
    <xf numFmtId="0" fontId="2" fillId="6" borderId="0" xfId="0" applyFont="1" applyFill="1" applyAlignment="1">
      <alignment vertical="top"/>
    </xf>
    <xf numFmtId="0" fontId="0" fillId="6" borderId="0" xfId="0" applyFill="1" applyAlignment="1">
      <alignment horizontal="left" vertical="top" wrapText="1"/>
    </xf>
    <xf numFmtId="0" fontId="0" fillId="6" borderId="0" xfId="0" applyFill="1" applyAlignment="1">
      <alignment vertical="top"/>
    </xf>
    <xf numFmtId="0" fontId="0" fillId="2" borderId="3" xfId="0" applyFill="1" applyBorder="1" applyAlignment="1">
      <alignment horizontal="left" vertical="top" wrapText="1"/>
    </xf>
    <xf numFmtId="165" fontId="0" fillId="2" borderId="3" xfId="0" applyNumberFormat="1" applyFill="1" applyBorder="1" applyAlignment="1">
      <alignment horizontal="left" vertical="top"/>
    </xf>
    <xf numFmtId="0" fontId="0" fillId="2" borderId="0" xfId="0" applyFill="1" applyAlignment="1">
      <alignment horizontal="left" vertical="top"/>
    </xf>
    <xf numFmtId="0" fontId="0" fillId="2" borderId="4" xfId="0" applyFill="1" applyBorder="1" applyAlignment="1">
      <alignment vertical="top" wrapText="1"/>
    </xf>
    <xf numFmtId="0" fontId="0" fillId="2" borderId="4" xfId="0" applyFill="1" applyBorder="1" applyAlignment="1">
      <alignment vertical="top" wrapText="1"/>
    </xf>
    <xf numFmtId="0" fontId="0" fillId="2" borderId="1" xfId="0" applyFill="1" applyBorder="1" applyAlignment="1">
      <alignment horizontal="center" vertical="top"/>
    </xf>
    <xf numFmtId="0" fontId="0" fillId="4" borderId="4" xfId="0" applyFill="1" applyBorder="1" applyAlignment="1">
      <alignment vertical="top"/>
    </xf>
    <xf numFmtId="0" fontId="0" fillId="3" borderId="3" xfId="0" applyFill="1" applyBorder="1" applyAlignment="1">
      <alignment vertical="top"/>
    </xf>
    <xf numFmtId="3" fontId="0" fillId="2" borderId="1" xfId="0" applyNumberFormat="1" applyFill="1" applyBorder="1" applyAlignment="1">
      <alignment horizontal="center" vertical="top"/>
    </xf>
    <xf numFmtId="0" fontId="0" fillId="0" borderId="2" xfId="0" applyFont="1" applyFill="1" applyBorder="1" applyAlignment="1">
      <alignment horizontal="left" vertical="top" wrapText="1"/>
    </xf>
    <xf numFmtId="0" fontId="0" fillId="4" borderId="2" xfId="0" applyFont="1" applyFill="1" applyBorder="1" applyAlignment="1">
      <alignment horizontal="left" vertical="top" wrapText="1"/>
    </xf>
    <xf numFmtId="49" fontId="0" fillId="6" borderId="0" xfId="0" applyNumberFormat="1" applyFont="1" applyFill="1" applyAlignment="1">
      <alignment vertical="top"/>
    </xf>
    <xf numFmtId="49" fontId="2" fillId="6" borderId="0" xfId="0" applyNumberFormat="1" applyFont="1" applyFill="1" applyAlignment="1">
      <alignment vertical="top"/>
    </xf>
    <xf numFmtId="0" fontId="0" fillId="0" borderId="0" xfId="0" applyAlignment="1">
      <alignment horizontal="left" vertical="top"/>
    </xf>
    <xf numFmtId="49" fontId="0" fillId="0" borderId="0" xfId="0" applyNumberFormat="1" applyAlignment="1">
      <alignment vertical="top"/>
    </xf>
    <xf numFmtId="0" fontId="0" fillId="3" borderId="3" xfId="0" applyFill="1" applyBorder="1" applyAlignment="1" applyProtection="1">
      <alignment horizontal="center" vertical="top" wrapText="1"/>
      <protection locked="0"/>
    </xf>
    <xf numFmtId="0" fontId="0" fillId="2" borderId="4" xfId="0" applyFill="1" applyBorder="1" applyAlignment="1">
      <alignment vertical="top" wrapText="1"/>
    </xf>
    <xf numFmtId="0" fontId="5" fillId="6" borderId="0" xfId="0" applyFont="1" applyFill="1" applyAlignment="1">
      <alignment vertical="top"/>
    </xf>
    <xf numFmtId="0" fontId="0" fillId="0" borderId="0" xfId="0" applyFont="1" applyFill="1" applyBorder="1" applyAlignment="1">
      <alignment horizontal="centerContinuous" vertical="top"/>
    </xf>
    <xf numFmtId="0" fontId="0" fillId="0" borderId="0" xfId="0" applyFont="1" applyFill="1" applyBorder="1" applyAlignment="1">
      <alignment vertical="top"/>
    </xf>
    <xf numFmtId="0" fontId="0" fillId="0" borderId="0" xfId="0" applyFont="1" applyFill="1" applyAlignment="1">
      <alignment horizontal="centerContinuous" vertical="top"/>
    </xf>
    <xf numFmtId="0" fontId="0" fillId="0" borderId="0" xfId="0" applyFont="1" applyFill="1" applyAlignment="1">
      <alignment vertical="top"/>
    </xf>
    <xf numFmtId="0" fontId="0" fillId="0" borderId="6" xfId="0" applyFont="1" applyFill="1" applyBorder="1" applyAlignment="1">
      <alignment horizontal="center" vertical="top" wrapText="1"/>
    </xf>
    <xf numFmtId="0" fontId="0" fillId="0" borderId="1" xfId="0" applyFont="1" applyFill="1" applyBorder="1" applyAlignment="1">
      <alignment horizontal="center" vertical="top" wrapText="1"/>
    </xf>
    <xf numFmtId="0" fontId="0" fillId="0" borderId="7" xfId="0" applyFont="1" applyFill="1" applyBorder="1" applyAlignment="1">
      <alignment horizontal="center" vertical="top" wrapText="1"/>
    </xf>
    <xf numFmtId="0" fontId="0" fillId="0" borderId="5" xfId="0" applyFont="1" applyFill="1" applyBorder="1" applyAlignment="1">
      <alignment horizontal="center" vertical="top" wrapText="1"/>
    </xf>
    <xf numFmtId="0" fontId="0" fillId="0" borderId="8" xfId="0" applyFill="1" applyBorder="1" applyAlignment="1">
      <alignment vertical="top" wrapText="1"/>
    </xf>
    <xf numFmtId="3" fontId="0" fillId="0" borderId="0" xfId="0" applyNumberFormat="1"/>
    <xf numFmtId="0" fontId="6" fillId="0" borderId="0" xfId="0" applyFont="1" applyFill="1" applyAlignment="1">
      <alignment horizontal="center" vertical="top"/>
    </xf>
    <xf numFmtId="3" fontId="7" fillId="0" borderId="7" xfId="0" applyNumberFormat="1" applyFont="1" applyFill="1" applyBorder="1" applyAlignment="1">
      <alignment horizontal="center" vertical="top"/>
    </xf>
    <xf numFmtId="3" fontId="7" fillId="0" borderId="1" xfId="0" applyNumberFormat="1" applyFont="1" applyFill="1" applyBorder="1" applyAlignment="1">
      <alignment horizontal="center" vertical="top"/>
    </xf>
    <xf numFmtId="3" fontId="7" fillId="0" borderId="5" xfId="0" applyNumberFormat="1" applyFont="1" applyFill="1" applyBorder="1" applyAlignment="1">
      <alignment horizontal="center" vertical="top"/>
    </xf>
    <xf numFmtId="3" fontId="7" fillId="0" borderId="6" xfId="0" applyNumberFormat="1" applyFont="1" applyFill="1" applyBorder="1" applyAlignment="1">
      <alignment horizontal="center" vertical="top"/>
    </xf>
    <xf numFmtId="0" fontId="0" fillId="0" borderId="0" xfId="0" applyAlignment="1">
      <alignment horizontal="centerContinuous" vertical="top" wrapText="1"/>
    </xf>
    <xf numFmtId="0" fontId="0" fillId="0" borderId="1" xfId="0" applyFill="1" applyBorder="1" applyAlignment="1">
      <alignment horizontal="center" vertical="top" wrapText="1"/>
    </xf>
    <xf numFmtId="0" fontId="0" fillId="0" borderId="0" xfId="0" applyFill="1" applyAlignment="1">
      <alignment horizontal="center" vertical="top" wrapText="1"/>
    </xf>
    <xf numFmtId="0" fontId="0" fillId="7" borderId="1" xfId="0" applyFill="1" applyBorder="1" applyAlignment="1">
      <alignment horizontal="center" vertical="top" wrapText="1"/>
    </xf>
    <xf numFmtId="0" fontId="8" fillId="0" borderId="0" xfId="0" applyFont="1" applyAlignment="1">
      <alignment vertical="top" wrapText="1"/>
    </xf>
    <xf numFmtId="0" fontId="10" fillId="0" borderId="0" xfId="0" applyFont="1" applyAlignment="1">
      <alignment vertical="top" wrapText="1"/>
    </xf>
    <xf numFmtId="0" fontId="15" fillId="0" borderId="0" xfId="0" applyFont="1" applyAlignment="1">
      <alignment vertical="top" wrapText="1"/>
    </xf>
    <xf numFmtId="0" fontId="0" fillId="8" borderId="1" xfId="0" applyFill="1" applyBorder="1" applyAlignment="1">
      <alignment vertical="top"/>
    </xf>
    <xf numFmtId="0" fontId="5" fillId="0" borderId="7" xfId="0" applyFont="1" applyFill="1" applyBorder="1" applyAlignment="1">
      <alignment horizontal="center" vertical="top" wrapText="1"/>
    </xf>
    <xf numFmtId="0" fontId="5" fillId="0" borderId="1"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5" xfId="0" applyFont="1" applyFill="1" applyBorder="1" applyAlignment="1">
      <alignment horizontal="center" vertical="top" wrapText="1"/>
    </xf>
    <xf numFmtId="0" fontId="0" fillId="8" borderId="1" xfId="0" applyFill="1" applyBorder="1" applyAlignment="1" applyProtection="1">
      <alignment horizontal="center" vertical="top" wrapText="1"/>
      <protection locked="0"/>
    </xf>
    <xf numFmtId="0" fontId="0" fillId="2" borderId="4" xfId="0" applyFill="1" applyBorder="1" applyAlignment="1">
      <alignment vertical="top" wrapText="1"/>
    </xf>
    <xf numFmtId="0" fontId="16" fillId="0" borderId="0" xfId="0" applyFont="1" applyFill="1" applyAlignment="1">
      <alignment horizontal="center" vertical="top"/>
    </xf>
    <xf numFmtId="0" fontId="17" fillId="0" borderId="1" xfId="1" applyFont="1" applyFill="1" applyBorder="1" applyAlignment="1">
      <alignment horizontal="center" vertical="top" wrapText="1"/>
    </xf>
    <xf numFmtId="0" fontId="19" fillId="0" borderId="1" xfId="0" applyFont="1" applyFill="1" applyBorder="1" applyAlignment="1">
      <alignment horizontal="center" vertical="top" wrapText="1"/>
    </xf>
    <xf numFmtId="0" fontId="0" fillId="3" borderId="1" xfId="0" applyFill="1" applyBorder="1" applyAlignment="1" applyProtection="1">
      <alignment horizontal="center" vertical="top" wrapText="1"/>
      <protection locked="0"/>
    </xf>
    <xf numFmtId="0" fontId="0" fillId="2" borderId="4" xfId="0" applyFill="1" applyBorder="1" applyAlignment="1">
      <alignment vertical="top" wrapText="1"/>
    </xf>
    <xf numFmtId="0" fontId="0" fillId="0" borderId="0" xfId="0" applyFill="1" applyAlignment="1">
      <alignment horizontal="left" vertical="top" wrapText="1"/>
    </xf>
    <xf numFmtId="0" fontId="0" fillId="0" borderId="0" xfId="0" applyFill="1" applyAlignment="1">
      <alignment horizontal="left" vertical="top"/>
    </xf>
    <xf numFmtId="3" fontId="0" fillId="0" borderId="0" xfId="0" applyNumberFormat="1" applyFill="1" applyAlignment="1">
      <alignment horizontal="left" vertical="top"/>
    </xf>
    <xf numFmtId="3" fontId="0" fillId="0" borderId="0" xfId="0" applyNumberFormat="1" applyFill="1" applyAlignment="1">
      <alignment horizontal="left" vertical="top" wrapText="1"/>
    </xf>
    <xf numFmtId="0" fontId="0" fillId="3" borderId="3" xfId="0" applyNumberFormat="1" applyFill="1" applyBorder="1" applyAlignment="1" applyProtection="1">
      <alignment horizontal="left" vertical="top" wrapText="1"/>
      <protection locked="0"/>
    </xf>
    <xf numFmtId="0" fontId="0" fillId="3" borderId="2" xfId="0" applyNumberFormat="1" applyFill="1" applyBorder="1" applyAlignment="1" applyProtection="1">
      <alignment horizontal="left" vertical="top" wrapText="1"/>
      <protection locked="0"/>
    </xf>
    <xf numFmtId="0" fontId="0" fillId="2" borderId="4" xfId="0" applyFill="1" applyBorder="1" applyAlignment="1">
      <alignment vertical="top" wrapText="1"/>
    </xf>
    <xf numFmtId="0" fontId="0" fillId="2" borderId="3" xfId="0" applyFill="1" applyBorder="1" applyAlignment="1">
      <alignment vertical="top" wrapText="1"/>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3" xfId="0" applyNumberFormat="1" applyFill="1" applyBorder="1" applyAlignment="1" applyProtection="1">
      <alignment horizontal="left" vertical="top"/>
      <protection locked="0"/>
    </xf>
    <xf numFmtId="0" fontId="0" fillId="3" borderId="2" xfId="0" applyNumberFormat="1" applyFill="1" applyBorder="1" applyAlignment="1" applyProtection="1">
      <alignment horizontal="left" vertical="top"/>
      <protection locked="0"/>
    </xf>
    <xf numFmtId="164" fontId="0" fillId="0" borderId="3" xfId="0" applyNumberFormat="1" applyFill="1" applyBorder="1" applyAlignment="1" applyProtection="1">
      <alignment horizontal="left" vertical="top" wrapText="1"/>
      <protection locked="0"/>
    </xf>
    <xf numFmtId="164" fontId="0" fillId="0" borderId="2" xfId="0" applyNumberFormat="1" applyFill="1" applyBorder="1" applyAlignment="1" applyProtection="1">
      <alignment horizontal="left" vertical="top" wrapText="1"/>
      <protection locked="0"/>
    </xf>
    <xf numFmtId="49" fontId="0" fillId="3" borderId="3" xfId="0" applyNumberFormat="1" applyFill="1" applyBorder="1" applyAlignment="1" applyProtection="1">
      <alignment horizontal="left" vertical="top" wrapText="1"/>
      <protection locked="0"/>
    </xf>
    <xf numFmtId="49" fontId="0" fillId="3" borderId="2" xfId="0" applyNumberFormat="1" applyFill="1" applyBorder="1" applyAlignment="1" applyProtection="1">
      <alignment horizontal="left" vertical="top" wrapText="1"/>
      <protection locked="0"/>
    </xf>
    <xf numFmtId="0" fontId="0" fillId="2" borderId="2" xfId="0" applyFill="1" applyBorder="1" applyAlignment="1">
      <alignment vertical="top" wrapText="1"/>
    </xf>
    <xf numFmtId="0" fontId="0" fillId="2" borderId="4" xfId="0" applyFill="1" applyBorder="1" applyAlignment="1" applyProtection="1">
      <alignment vertical="top" wrapText="1"/>
      <protection locked="0"/>
    </xf>
    <xf numFmtId="0" fontId="0" fillId="2" borderId="2" xfId="0" applyFill="1" applyBorder="1" applyAlignment="1" applyProtection="1">
      <alignment vertical="top" wrapText="1"/>
      <protection locked="0"/>
    </xf>
    <xf numFmtId="0" fontId="0" fillId="7" borderId="6" xfId="0" applyFill="1" applyBorder="1" applyAlignment="1">
      <alignment horizontal="center" vertical="top" wrapText="1"/>
    </xf>
    <xf numFmtId="0" fontId="0" fillId="7" borderId="7" xfId="0" applyFill="1" applyBorder="1" applyAlignment="1">
      <alignment horizontal="center" vertical="top" wrapText="1"/>
    </xf>
    <xf numFmtId="0" fontId="0" fillId="7" borderId="5" xfId="0" applyFill="1" applyBorder="1" applyAlignment="1">
      <alignment horizontal="center" vertical="top" wrapText="1"/>
    </xf>
  </cellXfs>
  <cellStyles count="2">
    <cellStyle name="Hyperlink" xfId="1" builtinId="8"/>
    <cellStyle name="Normal" xfId="0" builtinId="0"/>
  </cellStyles>
  <dxfs count="41">
    <dxf>
      <fill>
        <patternFill>
          <bgColor rgb="FF00CC00"/>
        </patternFill>
      </fill>
    </dxf>
    <dxf>
      <fill>
        <patternFill>
          <bgColor rgb="FFFF0000"/>
        </patternFill>
      </fill>
    </dxf>
    <dxf>
      <fill>
        <patternFill>
          <bgColor rgb="FFFFFF00"/>
        </patternFill>
      </fill>
    </dxf>
    <dxf>
      <fill>
        <patternFill>
          <bgColor rgb="FF00B0F0"/>
        </patternFill>
      </fill>
    </dxf>
    <dxf>
      <fill>
        <patternFill>
          <bgColor rgb="FFFFFF00"/>
        </patternFill>
      </fill>
    </dxf>
    <dxf>
      <fill>
        <patternFill>
          <bgColor rgb="FF00CC00"/>
        </patternFill>
      </fill>
    </dxf>
    <dxf>
      <fill>
        <patternFill>
          <bgColor rgb="FFFFFF00"/>
        </patternFill>
      </fill>
    </dxf>
    <dxf>
      <fill>
        <patternFill>
          <bgColor rgb="FF00B0F0"/>
        </patternFill>
      </fill>
    </dxf>
    <dxf>
      <fill>
        <patternFill>
          <bgColor rgb="FFFF00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00CC00"/>
        </patternFill>
      </fill>
    </dxf>
    <dxf>
      <fill>
        <patternFill>
          <bgColor rgb="FFFFFF00"/>
        </patternFill>
      </fill>
    </dxf>
    <dxf>
      <fill>
        <patternFill>
          <bgColor rgb="FF00B0F0"/>
        </patternFill>
      </fill>
    </dxf>
    <dxf>
      <fill>
        <patternFill>
          <bgColor rgb="FFFF0000"/>
        </patternFill>
      </fill>
    </dxf>
    <dxf>
      <fill>
        <patternFill>
          <bgColor theme="1"/>
        </patternFill>
      </fill>
    </dxf>
  </dxfs>
  <tableStyles count="0" defaultTableStyle="TableStyleMedium9" defaultPivotStyle="PivotStyleLight16"/>
  <colors>
    <mruColors>
      <color rgb="FFFF0000"/>
      <color rgb="FF0099FF"/>
      <color rgb="FF00FFFF"/>
      <color rgb="FFFF6161"/>
      <color rgb="FF00CC00"/>
      <color rgb="FF33CC33"/>
      <color rgb="FFFBFCFD"/>
      <color rgb="FF04508C"/>
      <color rgb="FF9CBE13"/>
      <color rgb="FF9C5A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r>
              <a:rPr lang="en-US" sz="1000">
                <a:solidFill>
                  <a:schemeClr val="tx1"/>
                </a:solidFill>
              </a:rPr>
              <a:t>3-Star Rating by Category</a:t>
            </a:r>
          </a:p>
        </c:rich>
      </c:tx>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6.2691000834198055E-2"/>
          <c:y val="0.2176314766209779"/>
          <c:w val="0.90177928340352809"/>
          <c:h val="0.51860843783415955"/>
        </c:manualLayout>
      </c:layout>
      <c:barChart>
        <c:barDir val="col"/>
        <c:grouping val="clustered"/>
        <c:varyColors val="0"/>
        <c:ser>
          <c:idx val="0"/>
          <c:order val="0"/>
          <c:spPr>
            <a:solidFill>
              <a:schemeClr val="accent1"/>
            </a:solidFill>
            <a:ln>
              <a:noFill/>
            </a:ln>
            <a:effectLst/>
          </c:spPr>
          <c:invertIfNegative val="0"/>
          <c:cat>
            <c:strRef>
              <c:f>Charts!$O$82:$O$87</c:f>
              <c:strCache>
                <c:ptCount val="5"/>
                <c:pt idx="0">
                  <c:v>Water</c:v>
                </c:pt>
                <c:pt idx="1">
                  <c:v>Sanitation</c:v>
                </c:pt>
                <c:pt idx="2">
                  <c:v>Hygiene</c:v>
                </c:pt>
                <c:pt idx="3">
                  <c:v>Deworming</c:v>
                </c:pt>
                <c:pt idx="4">
                  <c:v>Health Education</c:v>
                </c:pt>
              </c:strCache>
            </c:strRef>
          </c:cat>
          <c:val>
            <c:numRef>
              <c:f>Charts!$P$82:$P$87</c:f>
              <c:numCache>
                <c:formatCode>#,##0</c:formatCode>
                <c:ptCount val="6"/>
                <c:pt idx="0">
                  <c:v>0</c:v>
                </c:pt>
                <c:pt idx="1">
                  <c:v>0</c:v>
                </c:pt>
                <c:pt idx="2">
                  <c:v>0</c:v>
                </c:pt>
                <c:pt idx="3">
                  <c:v>0</c:v>
                </c:pt>
                <c:pt idx="4">
                  <c:v>0</c:v>
                </c:pt>
              </c:numCache>
            </c:numRef>
          </c:val>
        </c:ser>
        <c:dLbls>
          <c:showLegendKey val="0"/>
          <c:showVal val="0"/>
          <c:showCatName val="0"/>
          <c:showSerName val="0"/>
          <c:showPercent val="0"/>
          <c:showBubbleSize val="0"/>
        </c:dLbls>
        <c:gapWidth val="219"/>
        <c:overlap val="-27"/>
        <c:axId val="465178472"/>
        <c:axId val="465008872"/>
      </c:barChart>
      <c:catAx>
        <c:axId val="465178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65008872"/>
        <c:crosses val="autoZero"/>
        <c:auto val="1"/>
        <c:lblAlgn val="ctr"/>
        <c:lblOffset val="100"/>
        <c:noMultiLvlLbl val="0"/>
      </c:catAx>
      <c:valAx>
        <c:axId val="465008872"/>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65178472"/>
        <c:crosses val="autoZero"/>
        <c:crossBetween val="between"/>
        <c:majorUnit val="1"/>
      </c:valAx>
      <c:spPr>
        <a:noFill/>
        <a:ln>
          <a:solidFill>
            <a:schemeClr val="bg2">
              <a:lumMod val="90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paperSize="9" orientation="landscape"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r>
              <a:rPr lang="en-PH" sz="1000">
                <a:solidFill>
                  <a:schemeClr val="tx1"/>
                </a:solidFill>
              </a:rPr>
              <a:t>3-Star Rating for Water Indicators</a:t>
            </a:r>
          </a:p>
        </c:rich>
      </c:tx>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6.2691000834198055E-2"/>
          <c:y val="0.21763147662097793"/>
          <c:w val="0.90177928340352809"/>
          <c:h val="0.51860843783415966"/>
        </c:manualLayout>
      </c:layout>
      <c:barChart>
        <c:barDir val="col"/>
        <c:grouping val="clustered"/>
        <c:varyColors val="0"/>
        <c:ser>
          <c:idx val="0"/>
          <c:order val="0"/>
          <c:spPr>
            <a:solidFill>
              <a:schemeClr val="accent1"/>
            </a:solidFill>
            <a:ln>
              <a:noFill/>
            </a:ln>
            <a:effectLst/>
          </c:spPr>
          <c:invertIfNegative val="0"/>
          <c:cat>
            <c:strRef>
              <c:f>Charts!$O$90:$O$94</c:f>
              <c:strCache>
                <c:ptCount val="3"/>
                <c:pt idx="0">
                  <c:v>Safe Drinking Water</c:v>
                </c:pt>
                <c:pt idx="1">
                  <c:v>Water Testing</c:v>
                </c:pt>
                <c:pt idx="2">
                  <c:v>Water for Cleaning</c:v>
                </c:pt>
              </c:strCache>
            </c:strRef>
          </c:cat>
          <c:val>
            <c:numRef>
              <c:f>Charts!$P$90:$P$94</c:f>
              <c:numCache>
                <c:formatCode>General</c:formatCode>
                <c:ptCount val="5"/>
                <c:pt idx="0">
                  <c:v>0</c:v>
                </c:pt>
                <c:pt idx="1">
                  <c:v>0</c:v>
                </c:pt>
                <c:pt idx="2">
                  <c:v>0</c:v>
                </c:pt>
              </c:numCache>
            </c:numRef>
          </c:val>
        </c:ser>
        <c:dLbls>
          <c:showLegendKey val="0"/>
          <c:showVal val="0"/>
          <c:showCatName val="0"/>
          <c:showSerName val="0"/>
          <c:showPercent val="0"/>
          <c:showBubbleSize val="0"/>
        </c:dLbls>
        <c:gapWidth val="219"/>
        <c:overlap val="-27"/>
        <c:axId val="464051840"/>
        <c:axId val="464052232"/>
      </c:barChart>
      <c:catAx>
        <c:axId val="46405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64052232"/>
        <c:crosses val="autoZero"/>
        <c:auto val="1"/>
        <c:lblAlgn val="ctr"/>
        <c:lblOffset val="100"/>
        <c:noMultiLvlLbl val="0"/>
      </c:catAx>
      <c:valAx>
        <c:axId val="464052232"/>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64051840"/>
        <c:crosses val="autoZero"/>
        <c:crossBetween val="between"/>
        <c:majorUnit val="1"/>
      </c:valAx>
      <c:spPr>
        <a:noFill/>
        <a:ln>
          <a:solidFill>
            <a:schemeClr val="bg2">
              <a:lumMod val="90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r>
              <a:rPr lang="en-PH" sz="1000">
                <a:solidFill>
                  <a:schemeClr val="tx1"/>
                </a:solidFill>
              </a:rPr>
              <a:t>Deworming Indicators</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6.2691000834198055E-2"/>
          <c:y val="0.19448332847282976"/>
          <c:w val="0.90177928340352809"/>
          <c:h val="0.54175658598230769"/>
        </c:manualLayout>
      </c:layout>
      <c:barChart>
        <c:barDir val="col"/>
        <c:grouping val="clustered"/>
        <c:varyColors val="0"/>
        <c:ser>
          <c:idx val="0"/>
          <c:order val="0"/>
          <c:spPr>
            <a:solidFill>
              <a:schemeClr val="accent1"/>
            </a:solidFill>
            <a:ln>
              <a:noFill/>
            </a:ln>
            <a:effectLst/>
          </c:spPr>
          <c:invertIfNegative val="0"/>
          <c:cat>
            <c:strRef>
              <c:f>Charts!$O$129:$O$134</c:f>
              <c:strCache>
                <c:ptCount val="2"/>
                <c:pt idx="0">
                  <c:v>Semi-annual Deworming</c:v>
                </c:pt>
                <c:pt idx="1">
                  <c:v>Pupils Dewormed</c:v>
                </c:pt>
              </c:strCache>
            </c:strRef>
          </c:cat>
          <c:val>
            <c:numRef>
              <c:f>Charts!$P$129:$P$134</c:f>
              <c:numCache>
                <c:formatCode>General</c:formatCode>
                <c:ptCount val="6"/>
                <c:pt idx="0">
                  <c:v>0</c:v>
                </c:pt>
                <c:pt idx="1">
                  <c:v>0</c:v>
                </c:pt>
              </c:numCache>
            </c:numRef>
          </c:val>
        </c:ser>
        <c:dLbls>
          <c:showLegendKey val="0"/>
          <c:showVal val="0"/>
          <c:showCatName val="0"/>
          <c:showSerName val="0"/>
          <c:showPercent val="0"/>
          <c:showBubbleSize val="0"/>
        </c:dLbls>
        <c:gapWidth val="219"/>
        <c:overlap val="-27"/>
        <c:axId val="438679048"/>
        <c:axId val="474826264"/>
      </c:barChart>
      <c:catAx>
        <c:axId val="438679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74826264"/>
        <c:crosses val="autoZero"/>
        <c:auto val="1"/>
        <c:lblAlgn val="ctr"/>
        <c:lblOffset val="100"/>
        <c:noMultiLvlLbl val="0"/>
      </c:catAx>
      <c:valAx>
        <c:axId val="474826264"/>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38679048"/>
        <c:crosses val="autoZero"/>
        <c:crossBetween val="between"/>
        <c:majorUnit val="1"/>
      </c:valAx>
      <c:spPr>
        <a:noFill/>
        <a:ln>
          <a:solidFill>
            <a:schemeClr val="bg2">
              <a:lumMod val="90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r>
              <a:rPr lang="en-PH" sz="1000">
                <a:solidFill>
                  <a:schemeClr val="tx1"/>
                </a:solidFill>
              </a:rPr>
              <a:t>Health Education Indicators</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6.2691000834198055E-2"/>
          <c:y val="0.19448332847282976"/>
          <c:w val="0.90177928340352809"/>
          <c:h val="0.45699547973170018"/>
        </c:manualLayout>
      </c:layout>
      <c:barChart>
        <c:barDir val="col"/>
        <c:grouping val="clustered"/>
        <c:varyColors val="0"/>
        <c:ser>
          <c:idx val="0"/>
          <c:order val="0"/>
          <c:spPr>
            <a:solidFill>
              <a:schemeClr val="accent1"/>
            </a:solidFill>
            <a:ln>
              <a:noFill/>
            </a:ln>
            <a:effectLst/>
          </c:spPr>
          <c:invertIfNegative val="0"/>
          <c:cat>
            <c:strRef>
              <c:f>Charts!$O$136:$O$141</c:f>
              <c:strCache>
                <c:ptCount val="6"/>
                <c:pt idx="0">
                  <c:v>IEC Materials</c:v>
                </c:pt>
                <c:pt idx="1">
                  <c:v>Organized Teams </c:v>
                </c:pt>
                <c:pt idx="2">
                  <c:v>INSET</c:v>
                </c:pt>
                <c:pt idx="3">
                  <c:v>Learning Materials</c:v>
                </c:pt>
                <c:pt idx="4">
                  <c:v>Advocacy for Parents</c:v>
                </c:pt>
                <c:pt idx="5">
                  <c:v>Extra Curricular Activities</c:v>
                </c:pt>
              </c:strCache>
            </c:strRef>
          </c:cat>
          <c:val>
            <c:numRef>
              <c:f>Charts!$P$136:$P$141</c:f>
              <c:numCache>
                <c:formatCode>General</c:formatCode>
                <c:ptCount val="6"/>
                <c:pt idx="0">
                  <c:v>0</c:v>
                </c:pt>
                <c:pt idx="1">
                  <c:v>0</c:v>
                </c:pt>
                <c:pt idx="2">
                  <c:v>1</c:v>
                </c:pt>
                <c:pt idx="3">
                  <c:v>2</c:v>
                </c:pt>
                <c:pt idx="4">
                  <c:v>1</c:v>
                </c:pt>
                <c:pt idx="5">
                  <c:v>1</c:v>
                </c:pt>
              </c:numCache>
            </c:numRef>
          </c:val>
        </c:ser>
        <c:dLbls>
          <c:showLegendKey val="0"/>
          <c:showVal val="0"/>
          <c:showCatName val="0"/>
          <c:showSerName val="0"/>
          <c:showPercent val="0"/>
          <c:showBubbleSize val="0"/>
        </c:dLbls>
        <c:gapWidth val="219"/>
        <c:overlap val="-27"/>
        <c:axId val="434347408"/>
        <c:axId val="434347800"/>
      </c:barChart>
      <c:catAx>
        <c:axId val="43434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34347800"/>
        <c:crosses val="autoZero"/>
        <c:auto val="1"/>
        <c:lblAlgn val="ctr"/>
        <c:lblOffset val="100"/>
        <c:noMultiLvlLbl val="0"/>
      </c:catAx>
      <c:valAx>
        <c:axId val="434347800"/>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34347408"/>
        <c:crosses val="autoZero"/>
        <c:crossBetween val="between"/>
        <c:majorUnit val="1"/>
      </c:valAx>
      <c:spPr>
        <a:noFill/>
        <a:ln>
          <a:solidFill>
            <a:schemeClr val="bg2">
              <a:lumMod val="90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r>
              <a:rPr lang="en-PH" sz="1000">
                <a:solidFill>
                  <a:schemeClr val="tx1"/>
                </a:solidFill>
              </a:rPr>
              <a:t>3-Star Rating for Hygiene</a:t>
            </a:r>
            <a:r>
              <a:rPr lang="en-PH" sz="1000" baseline="0">
                <a:solidFill>
                  <a:schemeClr val="tx1"/>
                </a:solidFill>
              </a:rPr>
              <a:t> </a:t>
            </a:r>
            <a:r>
              <a:rPr lang="en-PH" sz="1000">
                <a:solidFill>
                  <a:schemeClr val="tx1"/>
                </a:solidFill>
              </a:rPr>
              <a:t>Indicators</a:t>
            </a:r>
          </a:p>
        </c:rich>
      </c:tx>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3.1164312553416371E-2"/>
          <c:y val="0.20219937785554584"/>
          <c:w val="0.95117351660522198"/>
          <c:h val="0.44927943034898415"/>
        </c:manualLayout>
      </c:layout>
      <c:barChart>
        <c:barDir val="col"/>
        <c:grouping val="clustered"/>
        <c:varyColors val="0"/>
        <c:ser>
          <c:idx val="0"/>
          <c:order val="0"/>
          <c:spPr>
            <a:solidFill>
              <a:schemeClr val="accent1"/>
            </a:solidFill>
            <a:ln>
              <a:noFill/>
            </a:ln>
            <a:effectLst/>
          </c:spPr>
          <c:invertIfNegative val="0"/>
          <c:cat>
            <c:strRef>
              <c:f>Charts!$O$114:$O$126</c:f>
              <c:strCache>
                <c:ptCount val="13"/>
                <c:pt idx="0">
                  <c:v>Grp Handwash Activity</c:v>
                </c:pt>
                <c:pt idx="1">
                  <c:v>Available Soap</c:v>
                </c:pt>
                <c:pt idx="2">
                  <c:v>Grp Handwash Facility</c:v>
                </c:pt>
                <c:pt idx="3">
                  <c:v>Individual Handwash Facility</c:v>
                </c:pt>
                <c:pt idx="4">
                  <c:v>Individual Handwash Practice</c:v>
                </c:pt>
                <c:pt idx="5">
                  <c:v>Grp Tooth brushing Activity</c:v>
                </c:pt>
                <c:pt idx="6">
                  <c:v>Available Toothbrush &amp; paste</c:v>
                </c:pt>
                <c:pt idx="7">
                  <c:v>Repair &amp; Main tenance</c:v>
                </c:pt>
                <c:pt idx="8">
                  <c:v>Funding of Supplies</c:v>
                </c:pt>
                <c:pt idx="9">
                  <c:v>Sanitary Pads</c:v>
                </c:pt>
                <c:pt idx="10">
                  <c:v>Disposal of Sanitary Pads</c:v>
                </c:pt>
                <c:pt idx="11">
                  <c:v>IEC Materials for MHM</c:v>
                </c:pt>
                <c:pt idx="12">
                  <c:v>Rest Space for MHM</c:v>
                </c:pt>
              </c:strCache>
            </c:strRef>
          </c:cat>
          <c:val>
            <c:numRef>
              <c:f>Charts!$P$114:$P$126</c:f>
              <c:numCache>
                <c:formatCode>General</c:formatCode>
                <c:ptCount val="13"/>
                <c:pt idx="0">
                  <c:v>5</c:v>
                </c:pt>
                <c:pt idx="1">
                  <c:v>0</c:v>
                </c:pt>
                <c:pt idx="2">
                  <c:v>5</c:v>
                </c:pt>
                <c:pt idx="3">
                  <c:v>2</c:v>
                </c:pt>
                <c:pt idx="4">
                  <c:v>2</c:v>
                </c:pt>
                <c:pt idx="5">
                  <c:v>0</c:v>
                </c:pt>
                <c:pt idx="6">
                  <c:v>0</c:v>
                </c:pt>
                <c:pt idx="7">
                  <c:v>0</c:v>
                </c:pt>
                <c:pt idx="8">
                  <c:v>0</c:v>
                </c:pt>
                <c:pt idx="9">
                  <c:v>0</c:v>
                </c:pt>
                <c:pt idx="10">
                  <c:v>1</c:v>
                </c:pt>
                <c:pt idx="11">
                  <c:v>1</c:v>
                </c:pt>
                <c:pt idx="12">
                  <c:v>2</c:v>
                </c:pt>
              </c:numCache>
            </c:numRef>
          </c:val>
        </c:ser>
        <c:dLbls>
          <c:showLegendKey val="0"/>
          <c:showVal val="0"/>
          <c:showCatName val="0"/>
          <c:showSerName val="0"/>
          <c:showPercent val="0"/>
          <c:showBubbleSize val="0"/>
        </c:dLbls>
        <c:gapWidth val="219"/>
        <c:overlap val="-27"/>
        <c:axId val="467915008"/>
        <c:axId val="467914616"/>
      </c:barChart>
      <c:catAx>
        <c:axId val="467915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67914616"/>
        <c:crosses val="autoZero"/>
        <c:auto val="1"/>
        <c:lblAlgn val="ctr"/>
        <c:lblOffset val="100"/>
        <c:noMultiLvlLbl val="0"/>
      </c:catAx>
      <c:valAx>
        <c:axId val="467914616"/>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67915008"/>
        <c:crosses val="autoZero"/>
        <c:crossBetween val="between"/>
        <c:majorUnit val="1"/>
      </c:valAx>
      <c:spPr>
        <a:noFill/>
        <a:ln>
          <a:solidFill>
            <a:schemeClr val="bg2">
              <a:lumMod val="90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r>
              <a:rPr lang="en-PH" sz="1000"/>
              <a:t>3-Star Rating for Sanitation Indicators</a:t>
            </a:r>
          </a:p>
        </c:rich>
      </c:tx>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3.1164312553416371E-2"/>
          <c:y val="0.20219937785554584"/>
          <c:w val="0.95117351660522198"/>
          <c:h val="0.46482696607368523"/>
        </c:manualLayout>
      </c:layout>
      <c:barChart>
        <c:barDir val="col"/>
        <c:grouping val="clustered"/>
        <c:varyColors val="0"/>
        <c:ser>
          <c:idx val="0"/>
          <c:order val="0"/>
          <c:spPr>
            <a:solidFill>
              <a:schemeClr val="accent1"/>
            </a:solidFill>
            <a:ln>
              <a:noFill/>
            </a:ln>
            <a:effectLst/>
          </c:spPr>
          <c:invertIfNegative val="0"/>
          <c:cat>
            <c:strRef>
              <c:f>Charts!$O$96:$O$111</c:f>
              <c:strCache>
                <c:ptCount val="16"/>
                <c:pt idx="0">
                  <c:v>Segre gated Toilets </c:v>
                </c:pt>
                <c:pt idx="1">
                  <c:v>Security of Toilets</c:v>
                </c:pt>
                <c:pt idx="2">
                  <c:v>Wash Facility for Toilets</c:v>
                </c:pt>
                <c:pt idx="3">
                  <c:v>Wash Facility for MHM</c:v>
                </c:pt>
                <c:pt idx="4">
                  <c:v>Safety of Detached Toilets</c:v>
                </c:pt>
                <c:pt idx="5">
                  <c:v>Toilets for Disabled</c:v>
                </c:pt>
                <c:pt idx="6">
                  <c:v>Daily Cleaning of Toilets</c:v>
                </c:pt>
                <c:pt idx="7">
                  <c:v>Funding for Repairs</c:v>
                </c:pt>
                <c:pt idx="8">
                  <c:v>No Burning of Waste</c:v>
                </c:pt>
                <c:pt idx="9">
                  <c:v>Segre gated Bins</c:v>
                </c:pt>
                <c:pt idx="10">
                  <c:v>Waste Segre gation</c:v>
                </c:pt>
                <c:pt idx="11">
                  <c:v>Garbage Collection</c:v>
                </c:pt>
                <c:pt idx="12">
                  <c:v>Septic Tank</c:v>
                </c:pt>
                <c:pt idx="13">
                  <c:v>Drainage</c:v>
                </c:pt>
                <c:pt idx="14">
                  <c:v>System for Flood</c:v>
                </c:pt>
                <c:pt idx="15">
                  <c:v>Food Handlers</c:v>
                </c:pt>
              </c:strCache>
            </c:strRef>
          </c:cat>
          <c:val>
            <c:numRef>
              <c:f>Charts!$P$96:$P$111</c:f>
              <c:numCache>
                <c:formatCode>General</c:formatCode>
                <c:ptCount val="16"/>
                <c:pt idx="0">
                  <c:v>0</c:v>
                </c:pt>
                <c:pt idx="1">
                  <c:v>0</c:v>
                </c:pt>
                <c:pt idx="2">
                  <c:v>1</c:v>
                </c:pt>
                <c:pt idx="3">
                  <c:v>1</c:v>
                </c:pt>
                <c:pt idx="4">
                  <c:v>1</c:v>
                </c:pt>
                <c:pt idx="5">
                  <c:v>2</c:v>
                </c:pt>
                <c:pt idx="6">
                  <c:v>0</c:v>
                </c:pt>
                <c:pt idx="7">
                  <c:v>0</c:v>
                </c:pt>
                <c:pt idx="8">
                  <c:v>0</c:v>
                </c:pt>
                <c:pt idx="9">
                  <c:v>0</c:v>
                </c:pt>
                <c:pt idx="10">
                  <c:v>0</c:v>
                </c:pt>
                <c:pt idx="11">
                  <c:v>0</c:v>
                </c:pt>
                <c:pt idx="12">
                  <c:v>0</c:v>
                </c:pt>
                <c:pt idx="13">
                  <c:v>0</c:v>
                </c:pt>
                <c:pt idx="14" formatCode="#,##0">
                  <c:v>2</c:v>
                </c:pt>
                <c:pt idx="15">
                  <c:v>0</c:v>
                </c:pt>
              </c:numCache>
            </c:numRef>
          </c:val>
        </c:ser>
        <c:dLbls>
          <c:showLegendKey val="0"/>
          <c:showVal val="0"/>
          <c:showCatName val="0"/>
          <c:showSerName val="0"/>
          <c:showPercent val="0"/>
          <c:showBubbleSize val="0"/>
        </c:dLbls>
        <c:gapWidth val="219"/>
        <c:overlap val="-27"/>
        <c:axId val="467803168"/>
        <c:axId val="125525080"/>
      </c:barChart>
      <c:catAx>
        <c:axId val="467803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25525080"/>
        <c:crosses val="autoZero"/>
        <c:auto val="1"/>
        <c:lblAlgn val="ctr"/>
        <c:lblOffset val="100"/>
        <c:noMultiLvlLbl val="0"/>
      </c:catAx>
      <c:valAx>
        <c:axId val="125525080"/>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67803168"/>
        <c:crosses val="autoZero"/>
        <c:crossBetween val="between"/>
        <c:majorUnit val="1"/>
      </c:valAx>
      <c:spPr>
        <a:noFill/>
        <a:ln>
          <a:solidFill>
            <a:schemeClr val="bg2">
              <a:lumMod val="90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n-US"/>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xdr:col>
      <xdr:colOff>485774</xdr:colOff>
      <xdr:row>0</xdr:row>
      <xdr:rowOff>28575</xdr:rowOff>
    </xdr:from>
    <xdr:ext cx="5229226" cy="718530"/>
    <xdr:sp macro="" textlink="">
      <xdr:nvSpPr>
        <xdr:cNvPr id="4" name="TextBox 3"/>
        <xdr:cNvSpPr txBox="1"/>
      </xdr:nvSpPr>
      <xdr:spPr>
        <a:xfrm>
          <a:off x="704849" y="28575"/>
          <a:ext cx="5229226" cy="71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PH" sz="2000" b="1">
              <a:solidFill>
                <a:schemeClr val="bg1"/>
              </a:solidFill>
              <a:latin typeface="+mn-lt"/>
              <a:cs typeface="Times New Roman" panose="02020603050405020304" pitchFamily="18" charset="0"/>
            </a:rPr>
            <a:t>Department of Education</a:t>
          </a:r>
        </a:p>
        <a:p>
          <a:r>
            <a:rPr lang="en-PH" sz="2000" b="1">
              <a:solidFill>
                <a:schemeClr val="bg1"/>
              </a:solidFill>
              <a:latin typeface="+mn-lt"/>
              <a:cs typeface="Times New Roman" panose="02020603050405020304" pitchFamily="18" charset="0"/>
            </a:rPr>
            <a:t>WASH in Schools Monitoring System</a:t>
          </a:r>
        </a:p>
      </xdr:txBody>
    </xdr:sp>
    <xdr:clientData/>
  </xdr:oneCellAnchor>
  <xdr:twoCellAnchor editAs="oneCell">
    <xdr:from>
      <xdr:col>0</xdr:col>
      <xdr:colOff>28575</xdr:colOff>
      <xdr:row>0</xdr:row>
      <xdr:rowOff>47625</xdr:rowOff>
    </xdr:from>
    <xdr:to>
      <xdr:col>1</xdr:col>
      <xdr:colOff>495300</xdr:colOff>
      <xdr:row>3</xdr:row>
      <xdr:rowOff>165026</xdr:rowOff>
    </xdr:to>
    <xdr:pic>
      <xdr:nvPicPr>
        <xdr:cNvPr id="5" name="Picture 4" descr="E:\Abigail Godoy\DepEd Style Guide\DepEd Seal_small.png"/>
        <xdr:cNvPicPr>
          <a:picLocks noChangeAspect="1" noChangeArrowheads="1"/>
        </xdr:cNvPicPr>
      </xdr:nvPicPr>
      <xdr:blipFill>
        <a:blip xmlns:r="http://schemas.openxmlformats.org/officeDocument/2006/relationships" r:embed="rId1" cstate="print"/>
        <a:srcRect/>
        <a:stretch>
          <a:fillRect/>
        </a:stretch>
      </xdr:blipFill>
      <xdr:spPr bwMode="auto">
        <a:xfrm>
          <a:off x="28575" y="47625"/>
          <a:ext cx="685800" cy="68890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274320</xdr:colOff>
      <xdr:row>10</xdr:row>
      <xdr:rowOff>121920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314325</xdr:colOff>
      <xdr:row>2</xdr:row>
      <xdr:rowOff>0</xdr:rowOff>
    </xdr:from>
    <xdr:to>
      <xdr:col>12</xdr:col>
      <xdr:colOff>588645</xdr:colOff>
      <xdr:row>10</xdr:row>
      <xdr:rowOff>121920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29</xdr:row>
      <xdr:rowOff>0</xdr:rowOff>
    </xdr:from>
    <xdr:to>
      <xdr:col>6</xdr:col>
      <xdr:colOff>274320</xdr:colOff>
      <xdr:row>37</xdr:row>
      <xdr:rowOff>121920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314325</xdr:colOff>
      <xdr:row>29</xdr:row>
      <xdr:rowOff>0</xdr:rowOff>
    </xdr:from>
    <xdr:to>
      <xdr:col>12</xdr:col>
      <xdr:colOff>588645</xdr:colOff>
      <xdr:row>37</xdr:row>
      <xdr:rowOff>121920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20</xdr:row>
      <xdr:rowOff>0</xdr:rowOff>
    </xdr:from>
    <xdr:to>
      <xdr:col>12</xdr:col>
      <xdr:colOff>594360</xdr:colOff>
      <xdr:row>28</xdr:row>
      <xdr:rowOff>121920</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11</xdr:row>
      <xdr:rowOff>0</xdr:rowOff>
    </xdr:from>
    <xdr:to>
      <xdr:col>12</xdr:col>
      <xdr:colOff>594360</xdr:colOff>
      <xdr:row>19</xdr:row>
      <xdr:rowOff>121920</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I166"/>
  <sheetViews>
    <sheetView showGridLines="0" tabSelected="1" workbookViewId="0">
      <pane ySplit="4" topLeftCell="A5" activePane="bottomLeft" state="frozen"/>
      <selection activeCell="F4" sqref="F4"/>
      <selection pane="bottomLeft" activeCell="A5" sqref="A5"/>
    </sheetView>
  </sheetViews>
  <sheetFormatPr defaultColWidth="12.7109375" defaultRowHeight="15" x14ac:dyDescent="0.25"/>
  <cols>
    <col min="1" max="1" width="3.28515625" style="49" customWidth="1"/>
    <col min="2" max="2" width="55.5703125" style="11" customWidth="1"/>
    <col min="3" max="3" width="12.7109375" style="11" hidden="1" customWidth="1"/>
    <col min="4" max="5" width="12.7109375" style="45"/>
    <col min="6" max="6" width="12.7109375" style="7"/>
    <col min="7" max="7" width="12.7109375" style="7" customWidth="1"/>
    <col min="8" max="16384" width="12.7109375" style="7"/>
  </cols>
  <sheetData>
    <row r="1" spans="1:6" s="74" customFormat="1" ht="15" customHeight="1" x14ac:dyDescent="0.25">
      <c r="A1" s="71"/>
      <c r="B1" s="72"/>
      <c r="C1" s="86"/>
      <c r="D1" s="73"/>
      <c r="E1" s="73"/>
      <c r="F1" s="92" t="str">
        <f>"Version: " &amp; Settings!B2</f>
        <v>Version: 2017-05-25</v>
      </c>
    </row>
    <row r="2" spans="1:6" s="74" customFormat="1" ht="15" customHeight="1" x14ac:dyDescent="0.25">
      <c r="A2" s="71"/>
      <c r="B2" s="72"/>
      <c r="C2" s="87"/>
      <c r="D2" s="73"/>
      <c r="E2" s="73"/>
    </row>
    <row r="3" spans="1:6" s="74" customFormat="1" ht="15" customHeight="1" x14ac:dyDescent="0.25">
      <c r="A3" s="71"/>
      <c r="B3" s="72"/>
      <c r="C3" s="72"/>
      <c r="D3" s="73"/>
      <c r="E3" s="73"/>
    </row>
    <row r="4" spans="1:6" s="74" customFormat="1" ht="15" customHeight="1" x14ac:dyDescent="0.25">
      <c r="A4" s="71"/>
      <c r="B4" s="72"/>
      <c r="C4" s="72"/>
      <c r="D4" s="73"/>
      <c r="E4" s="73"/>
    </row>
    <row r="6" spans="1:6" s="11" customFormat="1" x14ac:dyDescent="0.25">
      <c r="A6" s="48" t="s">
        <v>23</v>
      </c>
      <c r="B6" s="10"/>
      <c r="D6" s="45"/>
      <c r="E6" s="45"/>
    </row>
    <row r="8" spans="1:6" ht="15" customHeight="1" x14ac:dyDescent="0.25">
      <c r="A8" s="134" t="s">
        <v>20</v>
      </c>
      <c r="B8" s="133"/>
      <c r="C8" s="38"/>
      <c r="D8" s="139"/>
      <c r="E8" s="140"/>
      <c r="F8" s="8" t="s">
        <v>19</v>
      </c>
    </row>
    <row r="9" spans="1:6" x14ac:dyDescent="0.25">
      <c r="A9" s="134" t="s">
        <v>11</v>
      </c>
      <c r="B9" s="133"/>
      <c r="C9" s="37" t="s">
        <v>11</v>
      </c>
      <c r="D9" s="131"/>
      <c r="E9" s="132"/>
      <c r="F9" s="8" t="s">
        <v>19</v>
      </c>
    </row>
    <row r="10" spans="1:6" s="11" customFormat="1" x14ac:dyDescent="0.25">
      <c r="A10" s="134" t="s">
        <v>152</v>
      </c>
      <c r="B10" s="133"/>
      <c r="C10" s="38" t="s">
        <v>152</v>
      </c>
      <c r="D10" s="131"/>
      <c r="E10" s="132"/>
      <c r="F10" s="8" t="s">
        <v>19</v>
      </c>
    </row>
    <row r="11" spans="1:6" x14ac:dyDescent="0.25">
      <c r="A11" s="134" t="s">
        <v>15</v>
      </c>
      <c r="B11" s="133"/>
      <c r="C11" s="38"/>
      <c r="D11" s="135"/>
      <c r="E11" s="136"/>
      <c r="F11" s="8" t="s">
        <v>19</v>
      </c>
    </row>
    <row r="12" spans="1:6" x14ac:dyDescent="0.25">
      <c r="A12" s="134" t="s">
        <v>12</v>
      </c>
      <c r="B12" s="133"/>
      <c r="C12" s="38"/>
      <c r="D12" s="135"/>
      <c r="E12" s="136"/>
      <c r="F12" s="8" t="s">
        <v>19</v>
      </c>
    </row>
    <row r="13" spans="1:6" s="11" customFormat="1" ht="15" customHeight="1" x14ac:dyDescent="0.25">
      <c r="A13" s="134" t="s">
        <v>14</v>
      </c>
      <c r="B13" s="133"/>
      <c r="C13" s="38"/>
      <c r="D13" s="131"/>
      <c r="E13" s="132"/>
    </row>
    <row r="14" spans="1:6" ht="15" customHeight="1" x14ac:dyDescent="0.25">
      <c r="A14" s="134" t="s">
        <v>13</v>
      </c>
      <c r="B14" s="133"/>
      <c r="C14" s="38"/>
      <c r="D14" s="131"/>
      <c r="E14" s="132"/>
    </row>
    <row r="15" spans="1:6" ht="44.25" customHeight="1" x14ac:dyDescent="0.25">
      <c r="A15" s="134" t="s">
        <v>21</v>
      </c>
      <c r="B15" s="133"/>
      <c r="C15" s="38"/>
      <c r="D15" s="131"/>
      <c r="E15" s="132"/>
    </row>
    <row r="16" spans="1:6" ht="15" customHeight="1" x14ac:dyDescent="0.25">
      <c r="A16" s="134" t="s">
        <v>16</v>
      </c>
      <c r="B16" s="133"/>
      <c r="C16" s="38"/>
      <c r="D16" s="135"/>
      <c r="E16" s="136"/>
    </row>
    <row r="17" spans="1:6" ht="15" customHeight="1" x14ac:dyDescent="0.25">
      <c r="A17" s="134" t="s">
        <v>22</v>
      </c>
      <c r="B17" s="133"/>
      <c r="C17" s="38"/>
      <c r="D17" s="141"/>
      <c r="E17" s="142"/>
    </row>
    <row r="18" spans="1:6" s="11" customFormat="1" ht="15" customHeight="1" x14ac:dyDescent="0.25"/>
    <row r="19" spans="1:6" s="11" customFormat="1" ht="15" customHeight="1" x14ac:dyDescent="0.25">
      <c r="A19" s="5" t="s">
        <v>131</v>
      </c>
      <c r="B19" s="5"/>
      <c r="C19" s="5"/>
      <c r="D19" s="80" t="s">
        <v>8</v>
      </c>
      <c r="E19" s="80" t="s">
        <v>9</v>
      </c>
      <c r="F19" s="80" t="s">
        <v>135</v>
      </c>
    </row>
    <row r="20" spans="1:6" s="11" customFormat="1" ht="15" customHeight="1" x14ac:dyDescent="0.25">
      <c r="A20" s="134" t="s">
        <v>132</v>
      </c>
      <c r="B20" s="133"/>
      <c r="C20" s="38"/>
      <c r="D20" s="90"/>
      <c r="E20" s="90"/>
      <c r="F20" s="83">
        <f>SUM(D20:E20)</f>
        <v>0</v>
      </c>
    </row>
    <row r="21" spans="1:6" s="11" customFormat="1" ht="15" customHeight="1" x14ac:dyDescent="0.25">
      <c r="A21" s="134" t="s">
        <v>133</v>
      </c>
      <c r="B21" s="133"/>
      <c r="C21" s="38"/>
      <c r="D21" s="90"/>
      <c r="E21" s="90"/>
      <c r="F21" s="83">
        <f t="shared" ref="F21:F22" si="0">SUM(D21:E21)</f>
        <v>0</v>
      </c>
    </row>
    <row r="22" spans="1:6" s="11" customFormat="1" ht="15" customHeight="1" x14ac:dyDescent="0.25">
      <c r="A22" s="134" t="s">
        <v>134</v>
      </c>
      <c r="B22" s="133"/>
      <c r="C22" s="38"/>
      <c r="D22" s="90"/>
      <c r="E22" s="90"/>
      <c r="F22" s="83">
        <f t="shared" si="0"/>
        <v>0</v>
      </c>
    </row>
    <row r="23" spans="1:6" x14ac:dyDescent="0.25">
      <c r="A23" s="50"/>
      <c r="B23" s="9"/>
      <c r="C23" s="9"/>
      <c r="D23" s="46"/>
    </row>
    <row r="24" spans="1:6" x14ac:dyDescent="0.25">
      <c r="A24" s="50"/>
      <c r="B24" s="9"/>
      <c r="C24" s="9"/>
      <c r="D24" s="46"/>
    </row>
    <row r="25" spans="1:6" x14ac:dyDescent="0.25">
      <c r="A25" s="48" t="s">
        <v>24</v>
      </c>
      <c r="B25" s="10"/>
    </row>
    <row r="27" spans="1:6" x14ac:dyDescent="0.25">
      <c r="A27" s="51">
        <v>1</v>
      </c>
      <c r="B27" s="78" t="s">
        <v>501</v>
      </c>
      <c r="C27" s="37" t="s">
        <v>136</v>
      </c>
      <c r="D27" s="137"/>
      <c r="E27" s="138"/>
    </row>
    <row r="28" spans="1:6" s="11" customFormat="1" x14ac:dyDescent="0.25">
      <c r="A28" s="51">
        <f>A27+1</f>
        <v>2</v>
      </c>
      <c r="B28" s="78" t="s">
        <v>175</v>
      </c>
      <c r="C28" s="81" t="s">
        <v>6</v>
      </c>
      <c r="D28" s="131"/>
      <c r="E28" s="132"/>
    </row>
    <row r="29" spans="1:6" s="11" customFormat="1" ht="30" x14ac:dyDescent="0.25">
      <c r="A29" s="51">
        <f>+A28+1</f>
        <v>3</v>
      </c>
      <c r="B29" s="42" t="s">
        <v>101</v>
      </c>
      <c r="C29" s="37" t="s">
        <v>6</v>
      </c>
      <c r="D29" s="131"/>
      <c r="E29" s="132"/>
    </row>
    <row r="30" spans="1:6" s="11" customFormat="1" ht="30" customHeight="1" x14ac:dyDescent="0.25">
      <c r="A30" s="51">
        <f>+A29+1</f>
        <v>4</v>
      </c>
      <c r="B30" s="42" t="s">
        <v>102</v>
      </c>
      <c r="C30" s="38"/>
      <c r="D30" s="135"/>
      <c r="E30" s="136"/>
    </row>
    <row r="31" spans="1:6" s="11" customFormat="1" x14ac:dyDescent="0.25">
      <c r="A31" s="51">
        <f>+A30+1</f>
        <v>5</v>
      </c>
      <c r="B31" s="126" t="s">
        <v>502</v>
      </c>
      <c r="C31" s="37" t="s">
        <v>6</v>
      </c>
      <c r="D31" s="131"/>
      <c r="E31" s="132"/>
    </row>
    <row r="32" spans="1:6" s="11" customFormat="1" ht="15" customHeight="1" x14ac:dyDescent="0.25">
      <c r="A32" s="51">
        <f>+A31+1</f>
        <v>6</v>
      </c>
      <c r="B32" s="144" t="s">
        <v>503</v>
      </c>
      <c r="C32" s="144"/>
      <c r="D32" s="144"/>
      <c r="E32" s="145"/>
    </row>
    <row r="33" spans="1:8" s="11" customFormat="1" ht="30" customHeight="1" x14ac:dyDescent="0.25">
      <c r="A33" s="75"/>
      <c r="B33" s="40" t="s">
        <v>25</v>
      </c>
      <c r="C33" s="37" t="s">
        <v>17</v>
      </c>
      <c r="D33" s="131"/>
      <c r="E33" s="132"/>
    </row>
    <row r="34" spans="1:8" ht="30" customHeight="1" x14ac:dyDescent="0.25">
      <c r="A34" s="75"/>
      <c r="B34" s="40" t="s">
        <v>504</v>
      </c>
      <c r="C34" s="37" t="s">
        <v>17</v>
      </c>
      <c r="D34" s="131"/>
      <c r="E34" s="132"/>
    </row>
    <row r="35" spans="1:8" s="11" customFormat="1" x14ac:dyDescent="0.25">
      <c r="A35" s="75"/>
      <c r="B35" s="40" t="s">
        <v>299</v>
      </c>
      <c r="C35" s="37" t="s">
        <v>17</v>
      </c>
      <c r="D35" s="131"/>
      <c r="E35" s="132"/>
    </row>
    <row r="36" spans="1:8" s="11" customFormat="1" x14ac:dyDescent="0.25">
      <c r="A36" s="75"/>
      <c r="B36" s="40" t="s">
        <v>300</v>
      </c>
      <c r="C36" s="37" t="s">
        <v>17</v>
      </c>
      <c r="D36" s="131"/>
      <c r="E36" s="132"/>
    </row>
    <row r="37" spans="1:8" s="11" customFormat="1" ht="15" customHeight="1" x14ac:dyDescent="0.25">
      <c r="A37" s="75"/>
      <c r="B37" s="40" t="s">
        <v>18</v>
      </c>
      <c r="C37" s="38"/>
      <c r="D37" s="135"/>
      <c r="E37" s="136"/>
    </row>
    <row r="38" spans="1:8" s="11" customFormat="1" ht="60.75" customHeight="1" x14ac:dyDescent="0.25">
      <c r="A38" s="51">
        <f>A32+1</f>
        <v>7</v>
      </c>
      <c r="B38" s="42" t="s">
        <v>100</v>
      </c>
      <c r="C38" s="37" t="s">
        <v>86</v>
      </c>
      <c r="D38" s="131"/>
      <c r="E38" s="132"/>
    </row>
    <row r="39" spans="1:8" s="11" customFormat="1" x14ac:dyDescent="0.25">
      <c r="A39" s="50"/>
      <c r="B39" s="9"/>
      <c r="C39" s="9"/>
      <c r="D39" s="46"/>
      <c r="E39" s="45"/>
    </row>
    <row r="40" spans="1:8" s="11" customFormat="1" x14ac:dyDescent="0.25">
      <c r="A40" s="50"/>
      <c r="B40" s="9"/>
      <c r="C40" s="9"/>
      <c r="D40" s="46"/>
      <c r="E40" s="45"/>
    </row>
    <row r="41" spans="1:8" x14ac:dyDescent="0.25">
      <c r="A41" s="52" t="s">
        <v>29</v>
      </c>
      <c r="B41" s="12"/>
      <c r="C41" s="9"/>
      <c r="D41" s="46"/>
    </row>
    <row r="42" spans="1:8" s="9" customFormat="1" x14ac:dyDescent="0.25">
      <c r="A42" s="50"/>
      <c r="D42" s="46"/>
      <c r="E42" s="46"/>
      <c r="G42" s="11"/>
    </row>
    <row r="43" spans="1:8" s="11" customFormat="1" ht="30" x14ac:dyDescent="0.25">
      <c r="A43" s="51">
        <f>A38+1</f>
        <v>8</v>
      </c>
      <c r="B43" s="78" t="s">
        <v>103</v>
      </c>
      <c r="C43" s="78"/>
      <c r="D43" s="13" t="s">
        <v>8</v>
      </c>
      <c r="E43" s="13" t="s">
        <v>9</v>
      </c>
      <c r="F43" s="13" t="s">
        <v>139</v>
      </c>
      <c r="G43" s="13" t="s">
        <v>135</v>
      </c>
      <c r="H43" s="13" t="s">
        <v>492</v>
      </c>
    </row>
    <row r="44" spans="1:8" s="11" customFormat="1" ht="15" customHeight="1" x14ac:dyDescent="0.25">
      <c r="A44" s="75"/>
      <c r="B44" s="40" t="s">
        <v>385</v>
      </c>
      <c r="C44" s="82"/>
      <c r="D44" s="90"/>
      <c r="E44" s="90"/>
      <c r="F44" s="90"/>
      <c r="G44" s="83">
        <f>SUM(D44:F44)</f>
        <v>0</v>
      </c>
      <c r="H44" s="83" t="str">
        <f>IF(G44&gt;0,SUM(D20:E22)/G44,"")</f>
        <v/>
      </c>
    </row>
    <row r="45" spans="1:8" s="11" customFormat="1" ht="15" customHeight="1" x14ac:dyDescent="0.25">
      <c r="A45" s="75"/>
      <c r="B45" s="40" t="s">
        <v>386</v>
      </c>
      <c r="C45" s="82"/>
      <c r="D45" s="90"/>
      <c r="E45" s="90"/>
      <c r="F45" s="90"/>
      <c r="G45" s="83">
        <f>SUM(D45:F45)</f>
        <v>0</v>
      </c>
      <c r="H45" s="83"/>
    </row>
    <row r="46" spans="1:8" s="11" customFormat="1" ht="15" customHeight="1" x14ac:dyDescent="0.25"/>
    <row r="47" spans="1:8" s="11" customFormat="1" ht="30" x14ac:dyDescent="0.25">
      <c r="A47" s="51">
        <f>A43+1</f>
        <v>9</v>
      </c>
      <c r="B47" s="121" t="s">
        <v>505</v>
      </c>
      <c r="C47" s="37" t="s">
        <v>6</v>
      </c>
      <c r="D47" s="131"/>
      <c r="E47" s="132"/>
    </row>
    <row r="48" spans="1:8" s="11" customFormat="1" ht="30" x14ac:dyDescent="0.25">
      <c r="A48" s="51"/>
      <c r="B48" s="121" t="s">
        <v>506</v>
      </c>
      <c r="C48" s="37" t="s">
        <v>6</v>
      </c>
      <c r="D48" s="131"/>
      <c r="E48" s="132"/>
    </row>
    <row r="49" spans="1:5" s="11" customFormat="1" x14ac:dyDescent="0.25">
      <c r="A49" s="51"/>
      <c r="B49" s="121" t="s">
        <v>507</v>
      </c>
      <c r="C49" s="37" t="s">
        <v>6</v>
      </c>
      <c r="D49" s="131"/>
      <c r="E49" s="132"/>
    </row>
    <row r="50" spans="1:5" s="11" customFormat="1" ht="30" customHeight="1" x14ac:dyDescent="0.25">
      <c r="A50" s="51">
        <f>A47+1</f>
        <v>10</v>
      </c>
      <c r="B50" s="78" t="s">
        <v>508</v>
      </c>
      <c r="C50" s="37" t="s">
        <v>6</v>
      </c>
      <c r="D50" s="131"/>
      <c r="E50" s="132"/>
    </row>
    <row r="51" spans="1:5" s="11" customFormat="1" ht="30" customHeight="1" x14ac:dyDescent="0.25">
      <c r="A51" s="51">
        <f>A50+1</f>
        <v>11</v>
      </c>
      <c r="B51" s="78" t="s">
        <v>509</v>
      </c>
      <c r="C51" s="38"/>
      <c r="D51" s="135"/>
      <c r="E51" s="136"/>
    </row>
    <row r="52" spans="1:5" s="11" customFormat="1" ht="30" customHeight="1" x14ac:dyDescent="0.25">
      <c r="A52" s="51">
        <f t="shared" ref="A52:A53" si="1">A51+1</f>
        <v>12</v>
      </c>
      <c r="B52" s="42" t="s">
        <v>122</v>
      </c>
      <c r="C52" s="37" t="s">
        <v>6</v>
      </c>
      <c r="D52" s="131"/>
      <c r="E52" s="132"/>
    </row>
    <row r="53" spans="1:5" s="11" customFormat="1" ht="45" customHeight="1" x14ac:dyDescent="0.25">
      <c r="A53" s="51">
        <f t="shared" si="1"/>
        <v>13</v>
      </c>
      <c r="B53" s="42" t="s">
        <v>104</v>
      </c>
      <c r="C53" s="37" t="s">
        <v>6</v>
      </c>
      <c r="D53" s="131"/>
      <c r="E53" s="132"/>
    </row>
    <row r="54" spans="1:5" s="11" customFormat="1" ht="15" customHeight="1" x14ac:dyDescent="0.25">
      <c r="A54" s="51">
        <f>+A53+1</f>
        <v>14</v>
      </c>
      <c r="B54" s="42" t="s">
        <v>105</v>
      </c>
      <c r="C54" s="37" t="s">
        <v>88</v>
      </c>
      <c r="D54" s="131"/>
      <c r="E54" s="132"/>
    </row>
    <row r="55" spans="1:5" s="11" customFormat="1" ht="15" customHeight="1" x14ac:dyDescent="0.25">
      <c r="A55" s="51">
        <f t="shared" ref="A55:A56" si="2">+A54+1</f>
        <v>15</v>
      </c>
      <c r="B55" s="42" t="s">
        <v>106</v>
      </c>
      <c r="C55" s="37" t="s">
        <v>6</v>
      </c>
      <c r="D55" s="131"/>
      <c r="E55" s="132"/>
    </row>
    <row r="56" spans="1:5" s="11" customFormat="1" ht="15" customHeight="1" x14ac:dyDescent="0.25">
      <c r="A56" s="51">
        <f t="shared" si="2"/>
        <v>16</v>
      </c>
      <c r="B56" s="133" t="s">
        <v>140</v>
      </c>
      <c r="C56" s="133"/>
      <c r="D56" s="133"/>
      <c r="E56" s="143"/>
    </row>
    <row r="57" spans="1:5" s="11" customFormat="1" ht="15" customHeight="1" x14ac:dyDescent="0.25">
      <c r="A57" s="75"/>
      <c r="B57" s="40" t="s">
        <v>44</v>
      </c>
      <c r="C57" s="37" t="s">
        <v>17</v>
      </c>
      <c r="D57" s="131"/>
      <c r="E57" s="132"/>
    </row>
    <row r="58" spans="1:5" s="11" customFormat="1" ht="15" customHeight="1" x14ac:dyDescent="0.25">
      <c r="A58" s="75"/>
      <c r="B58" s="40" t="s">
        <v>45</v>
      </c>
      <c r="C58" s="37" t="s">
        <v>17</v>
      </c>
      <c r="D58" s="131"/>
      <c r="E58" s="132"/>
    </row>
    <row r="59" spans="1:5" s="11" customFormat="1" ht="15" customHeight="1" x14ac:dyDescent="0.25">
      <c r="A59" s="75"/>
      <c r="B59" s="40" t="s">
        <v>141</v>
      </c>
      <c r="C59" s="37" t="s">
        <v>17</v>
      </c>
      <c r="D59" s="131"/>
      <c r="E59" s="132"/>
    </row>
    <row r="60" spans="1:5" s="11" customFormat="1" ht="15" customHeight="1" x14ac:dyDescent="0.25">
      <c r="A60" s="75"/>
      <c r="B60" s="40" t="s">
        <v>142</v>
      </c>
      <c r="C60" s="37" t="s">
        <v>17</v>
      </c>
      <c r="D60" s="131"/>
      <c r="E60" s="132"/>
    </row>
    <row r="61" spans="1:5" s="11" customFormat="1" ht="15" customHeight="1" x14ac:dyDescent="0.25">
      <c r="A61" s="75"/>
      <c r="B61" s="40" t="s">
        <v>48</v>
      </c>
      <c r="C61" s="37" t="s">
        <v>17</v>
      </c>
      <c r="D61" s="131"/>
      <c r="E61" s="132"/>
    </row>
    <row r="62" spans="1:5" s="11" customFormat="1" ht="15" customHeight="1" x14ac:dyDescent="0.25">
      <c r="A62" s="75"/>
      <c r="B62" s="40" t="s">
        <v>47</v>
      </c>
      <c r="C62" s="37" t="s">
        <v>17</v>
      </c>
      <c r="D62" s="131"/>
      <c r="E62" s="132"/>
    </row>
    <row r="63" spans="1:5" s="11" customFormat="1" ht="15" customHeight="1" x14ac:dyDescent="0.25">
      <c r="A63" s="75"/>
      <c r="B63" s="40" t="s">
        <v>144</v>
      </c>
      <c r="C63" s="37" t="s">
        <v>17</v>
      </c>
      <c r="D63" s="131"/>
      <c r="E63" s="132"/>
    </row>
    <row r="64" spans="1:5" s="11" customFormat="1" ht="15" customHeight="1" x14ac:dyDescent="0.25">
      <c r="A64" s="75"/>
      <c r="B64" s="40" t="s">
        <v>143</v>
      </c>
      <c r="C64" s="37" t="s">
        <v>17</v>
      </c>
      <c r="D64" s="131"/>
      <c r="E64" s="132"/>
    </row>
    <row r="65" spans="1:5" s="11" customFormat="1" ht="15" customHeight="1" x14ac:dyDescent="0.25">
      <c r="A65" s="75"/>
      <c r="B65" s="40" t="s">
        <v>291</v>
      </c>
      <c r="C65" s="37" t="s">
        <v>17</v>
      </c>
      <c r="D65" s="131"/>
      <c r="E65" s="132"/>
    </row>
    <row r="66" spans="1:5" s="11" customFormat="1" ht="15" customHeight="1" x14ac:dyDescent="0.25">
      <c r="A66" s="51">
        <f>A56+1</f>
        <v>17</v>
      </c>
      <c r="B66" s="41" t="s">
        <v>510</v>
      </c>
      <c r="C66" s="37" t="s">
        <v>6</v>
      </c>
      <c r="D66" s="131"/>
      <c r="E66" s="132"/>
    </row>
    <row r="67" spans="1:5" s="11" customFormat="1" ht="30" x14ac:dyDescent="0.25">
      <c r="A67" s="51">
        <f>+A66+1</f>
        <v>18</v>
      </c>
      <c r="B67" s="41" t="s">
        <v>511</v>
      </c>
      <c r="C67" s="37" t="s">
        <v>6</v>
      </c>
      <c r="D67" s="131"/>
      <c r="E67" s="132"/>
    </row>
    <row r="68" spans="1:5" s="11" customFormat="1" x14ac:dyDescent="0.25">
      <c r="A68" s="51">
        <f>+A67+1</f>
        <v>19</v>
      </c>
      <c r="B68" s="42" t="s">
        <v>107</v>
      </c>
      <c r="C68" s="37" t="s">
        <v>89</v>
      </c>
      <c r="D68" s="131"/>
      <c r="E68" s="132"/>
    </row>
    <row r="69" spans="1:5" s="11" customFormat="1" ht="15" customHeight="1" x14ac:dyDescent="0.25">
      <c r="A69" s="51">
        <f>+A68+1</f>
        <v>20</v>
      </c>
      <c r="B69" s="78" t="s">
        <v>145</v>
      </c>
      <c r="C69" s="37" t="s">
        <v>6</v>
      </c>
      <c r="D69" s="131"/>
      <c r="E69" s="132"/>
    </row>
    <row r="70" spans="1:5" s="11" customFormat="1" ht="30" x14ac:dyDescent="0.25">
      <c r="A70" s="51">
        <f>A69+1</f>
        <v>21</v>
      </c>
      <c r="B70" s="78" t="s">
        <v>146</v>
      </c>
      <c r="C70" s="37" t="s">
        <v>6</v>
      </c>
      <c r="D70" s="131"/>
      <c r="E70" s="132"/>
    </row>
    <row r="71" spans="1:5" s="11" customFormat="1" ht="15" customHeight="1" x14ac:dyDescent="0.25">
      <c r="A71" s="51">
        <f t="shared" ref="A71:A75" si="3">A70+1</f>
        <v>22</v>
      </c>
      <c r="B71" s="42" t="s">
        <v>108</v>
      </c>
      <c r="C71" s="37" t="s">
        <v>6</v>
      </c>
      <c r="D71" s="131"/>
      <c r="E71" s="132"/>
    </row>
    <row r="72" spans="1:5" s="11" customFormat="1" ht="15" customHeight="1" x14ac:dyDescent="0.25">
      <c r="A72" s="51">
        <f t="shared" si="3"/>
        <v>23</v>
      </c>
      <c r="B72" s="42" t="s">
        <v>109</v>
      </c>
      <c r="C72" s="37" t="s">
        <v>37</v>
      </c>
      <c r="D72" s="131"/>
      <c r="E72" s="132"/>
    </row>
    <row r="73" spans="1:5" s="11" customFormat="1" ht="30" customHeight="1" x14ac:dyDescent="0.25">
      <c r="A73" s="51">
        <f t="shared" si="3"/>
        <v>24</v>
      </c>
      <c r="B73" s="78" t="s">
        <v>512</v>
      </c>
      <c r="C73" s="37" t="s">
        <v>6</v>
      </c>
      <c r="D73" s="131"/>
      <c r="E73" s="132"/>
    </row>
    <row r="74" spans="1:5" s="11" customFormat="1" x14ac:dyDescent="0.25">
      <c r="A74" s="51">
        <f t="shared" si="3"/>
        <v>25</v>
      </c>
      <c r="B74" s="44" t="s">
        <v>110</v>
      </c>
      <c r="C74" s="37" t="s">
        <v>6</v>
      </c>
      <c r="D74" s="131"/>
      <c r="E74" s="132"/>
    </row>
    <row r="75" spans="1:5" s="11" customFormat="1" ht="15" customHeight="1" x14ac:dyDescent="0.25">
      <c r="A75" s="51">
        <f t="shared" si="3"/>
        <v>26</v>
      </c>
      <c r="B75" s="133" t="s">
        <v>111</v>
      </c>
      <c r="C75" s="133"/>
      <c r="D75" s="133"/>
      <c r="E75" s="143"/>
    </row>
    <row r="76" spans="1:5" s="11" customFormat="1" ht="15" customHeight="1" x14ac:dyDescent="0.25">
      <c r="A76" s="75"/>
      <c r="B76" s="40" t="s">
        <v>38</v>
      </c>
      <c r="C76" s="37" t="s">
        <v>17</v>
      </c>
      <c r="D76" s="131"/>
      <c r="E76" s="132"/>
    </row>
    <row r="77" spans="1:5" s="11" customFormat="1" ht="15" customHeight="1" x14ac:dyDescent="0.25">
      <c r="A77" s="75"/>
      <c r="B77" s="40" t="s">
        <v>39</v>
      </c>
      <c r="C77" s="37" t="s">
        <v>17</v>
      </c>
      <c r="D77" s="131"/>
      <c r="E77" s="132"/>
    </row>
    <row r="78" spans="1:5" s="11" customFormat="1" ht="45" x14ac:dyDescent="0.25">
      <c r="A78" s="75"/>
      <c r="B78" s="40" t="s">
        <v>513</v>
      </c>
      <c r="C78" s="37" t="s">
        <v>17</v>
      </c>
      <c r="D78" s="131"/>
      <c r="E78" s="132"/>
    </row>
    <row r="79" spans="1:5" s="11" customFormat="1" ht="30" customHeight="1" x14ac:dyDescent="0.25">
      <c r="A79" s="75"/>
      <c r="B79" s="40" t="s">
        <v>514</v>
      </c>
      <c r="C79" s="37" t="s">
        <v>17</v>
      </c>
      <c r="D79" s="131"/>
      <c r="E79" s="132"/>
    </row>
    <row r="80" spans="1:5" s="11" customFormat="1" ht="30" customHeight="1" x14ac:dyDescent="0.25">
      <c r="A80" s="75"/>
      <c r="B80" s="40" t="s">
        <v>515</v>
      </c>
      <c r="C80" s="37" t="s">
        <v>17</v>
      </c>
      <c r="D80" s="131"/>
      <c r="E80" s="132"/>
    </row>
    <row r="81" spans="1:5" s="11" customFormat="1" x14ac:dyDescent="0.25">
      <c r="A81" s="76">
        <f>+A75+1</f>
        <v>27</v>
      </c>
      <c r="B81" s="42" t="s">
        <v>129</v>
      </c>
      <c r="C81" s="37" t="s">
        <v>6</v>
      </c>
      <c r="D81" s="131"/>
      <c r="E81" s="132"/>
    </row>
    <row r="82" spans="1:5" s="11" customFormat="1" x14ac:dyDescent="0.25">
      <c r="A82" s="76">
        <f>+A81+1</f>
        <v>28</v>
      </c>
      <c r="B82" s="42" t="s">
        <v>112</v>
      </c>
      <c r="C82" s="37" t="s">
        <v>6</v>
      </c>
      <c r="D82" s="131"/>
      <c r="E82" s="132"/>
    </row>
    <row r="83" spans="1:5" s="11" customFormat="1" ht="15" customHeight="1" x14ac:dyDescent="0.25">
      <c r="A83" s="51">
        <f>+A82+1</f>
        <v>29</v>
      </c>
      <c r="B83" s="133" t="s">
        <v>113</v>
      </c>
      <c r="C83" s="133"/>
      <c r="D83" s="133"/>
      <c r="E83" s="143"/>
    </row>
    <row r="84" spans="1:5" s="11" customFormat="1" ht="15" customHeight="1" x14ac:dyDescent="0.25">
      <c r="A84" s="75"/>
      <c r="B84" s="40" t="s">
        <v>40</v>
      </c>
      <c r="C84" s="37" t="s">
        <v>17</v>
      </c>
      <c r="D84" s="131"/>
      <c r="E84" s="132"/>
    </row>
    <row r="85" spans="1:5" s="11" customFormat="1" ht="15" customHeight="1" x14ac:dyDescent="0.25">
      <c r="A85" s="75"/>
      <c r="B85" s="40" t="s">
        <v>41</v>
      </c>
      <c r="C85" s="37" t="s">
        <v>17</v>
      </c>
      <c r="D85" s="131"/>
      <c r="E85" s="132"/>
    </row>
    <row r="86" spans="1:5" s="11" customFormat="1" ht="15" customHeight="1" x14ac:dyDescent="0.25">
      <c r="A86" s="75"/>
      <c r="B86" s="40" t="s">
        <v>516</v>
      </c>
      <c r="C86" s="37" t="s">
        <v>17</v>
      </c>
      <c r="D86" s="131"/>
      <c r="E86" s="132"/>
    </row>
    <row r="87" spans="1:5" s="11" customFormat="1" ht="30" x14ac:dyDescent="0.25">
      <c r="A87" s="76">
        <f>+A83+1</f>
        <v>30</v>
      </c>
      <c r="B87" s="42" t="s">
        <v>114</v>
      </c>
      <c r="C87" s="37" t="s">
        <v>37</v>
      </c>
      <c r="D87" s="131"/>
      <c r="E87" s="132"/>
    </row>
    <row r="88" spans="1:5" s="11" customFormat="1" x14ac:dyDescent="0.25">
      <c r="A88" s="76">
        <f>+A87+1</f>
        <v>31</v>
      </c>
      <c r="B88" s="78" t="s">
        <v>147</v>
      </c>
      <c r="C88" s="37" t="s">
        <v>37</v>
      </c>
      <c r="D88" s="131"/>
      <c r="E88" s="132"/>
    </row>
    <row r="89" spans="1:5" s="11" customFormat="1" x14ac:dyDescent="0.25">
      <c r="A89" s="50"/>
      <c r="B89" s="9"/>
      <c r="C89" s="9"/>
      <c r="D89" s="46"/>
      <c r="E89" s="45"/>
    </row>
    <row r="90" spans="1:5" s="11" customFormat="1" x14ac:dyDescent="0.25">
      <c r="A90" s="50"/>
      <c r="B90" s="9"/>
      <c r="C90" s="9"/>
      <c r="D90" s="46"/>
      <c r="E90" s="45"/>
    </row>
    <row r="91" spans="1:5" s="11" customFormat="1" x14ac:dyDescent="0.25">
      <c r="A91" s="52" t="s">
        <v>57</v>
      </c>
      <c r="B91" s="12"/>
      <c r="C91" s="9"/>
      <c r="D91" s="46"/>
      <c r="E91" s="45"/>
    </row>
    <row r="92" spans="1:5" s="9" customFormat="1" x14ac:dyDescent="0.25">
      <c r="A92" s="50"/>
      <c r="D92" s="46"/>
      <c r="E92" s="46"/>
    </row>
    <row r="93" spans="1:5" s="11" customFormat="1" ht="45" x14ac:dyDescent="0.25">
      <c r="A93" s="76">
        <f>+A88+1</f>
        <v>32</v>
      </c>
      <c r="B93" s="78" t="s">
        <v>517</v>
      </c>
      <c r="C93" s="38"/>
      <c r="D93" s="135"/>
      <c r="E93" s="136"/>
    </row>
    <row r="94" spans="1:5" s="11" customFormat="1" x14ac:dyDescent="0.25">
      <c r="A94" s="76">
        <f>+A93+1</f>
        <v>33</v>
      </c>
      <c r="B94" s="133" t="s">
        <v>518</v>
      </c>
      <c r="C94" s="133" t="s">
        <v>92</v>
      </c>
      <c r="D94" s="133" t="s">
        <v>43</v>
      </c>
      <c r="E94" s="143"/>
    </row>
    <row r="95" spans="1:5" s="11" customFormat="1" x14ac:dyDescent="0.25">
      <c r="A95" s="76"/>
      <c r="B95" s="40" t="s">
        <v>94</v>
      </c>
      <c r="C95" s="37" t="s">
        <v>17</v>
      </c>
      <c r="D95" s="131"/>
      <c r="E95" s="132"/>
    </row>
    <row r="96" spans="1:5" s="11" customFormat="1" ht="30" x14ac:dyDescent="0.25">
      <c r="A96" s="76"/>
      <c r="B96" s="40" t="s">
        <v>42</v>
      </c>
      <c r="C96" s="37" t="s">
        <v>17</v>
      </c>
      <c r="D96" s="131"/>
      <c r="E96" s="132"/>
    </row>
    <row r="97" spans="1:5" s="11" customFormat="1" x14ac:dyDescent="0.25">
      <c r="A97" s="76"/>
      <c r="B97" s="40" t="s">
        <v>43</v>
      </c>
      <c r="C97" s="37" t="s">
        <v>17</v>
      </c>
      <c r="D97" s="131"/>
      <c r="E97" s="132"/>
    </row>
    <row r="98" spans="1:5" s="11" customFormat="1" ht="75" x14ac:dyDescent="0.25">
      <c r="A98" s="76">
        <f>+A94+1</f>
        <v>34</v>
      </c>
      <c r="B98" s="126" t="s">
        <v>519</v>
      </c>
      <c r="C98" s="38"/>
      <c r="D98" s="13" t="s">
        <v>520</v>
      </c>
      <c r="E98" s="13" t="s">
        <v>521</v>
      </c>
    </row>
    <row r="99" spans="1:5" s="11" customFormat="1" x14ac:dyDescent="0.25">
      <c r="A99" s="76"/>
      <c r="B99" s="40" t="s">
        <v>522</v>
      </c>
      <c r="C99" s="38"/>
      <c r="D99" s="39"/>
      <c r="E99" s="125"/>
    </row>
    <row r="100" spans="1:5" s="11" customFormat="1" x14ac:dyDescent="0.25">
      <c r="A100" s="76"/>
      <c r="B100" s="40" t="s">
        <v>524</v>
      </c>
      <c r="C100" s="38"/>
      <c r="D100" s="125"/>
      <c r="E100" s="125"/>
    </row>
    <row r="101" spans="1:5" s="11" customFormat="1" ht="78.75" customHeight="1" x14ac:dyDescent="0.25">
      <c r="A101" s="76"/>
      <c r="B101" s="133" t="s">
        <v>523</v>
      </c>
      <c r="C101" s="133"/>
      <c r="D101" s="133"/>
      <c r="E101" s="133"/>
    </row>
    <row r="102" spans="1:5" s="11" customFormat="1" ht="15" customHeight="1" x14ac:dyDescent="0.25">
      <c r="A102" s="76">
        <f>+A98+1</f>
        <v>35</v>
      </c>
      <c r="B102" s="42" t="s">
        <v>115</v>
      </c>
      <c r="C102" s="37" t="s">
        <v>6</v>
      </c>
      <c r="D102" s="131"/>
      <c r="E102" s="132"/>
    </row>
    <row r="103" spans="1:5" s="11" customFormat="1" ht="15" customHeight="1" x14ac:dyDescent="0.25">
      <c r="A103" s="76">
        <f t="shared" ref="A103" si="4">+A102+1</f>
        <v>36</v>
      </c>
      <c r="B103" s="133" t="s">
        <v>155</v>
      </c>
      <c r="C103" s="133"/>
      <c r="D103" s="133"/>
      <c r="E103" s="143"/>
    </row>
    <row r="104" spans="1:5" s="11" customFormat="1" ht="15" customHeight="1" x14ac:dyDescent="0.25">
      <c r="A104" s="76"/>
      <c r="B104" s="40" t="s">
        <v>44</v>
      </c>
      <c r="C104" s="37" t="s">
        <v>17</v>
      </c>
      <c r="D104" s="131"/>
      <c r="E104" s="132"/>
    </row>
    <row r="105" spans="1:5" s="11" customFormat="1" ht="15" customHeight="1" x14ac:dyDescent="0.25">
      <c r="A105" s="76"/>
      <c r="B105" s="40" t="s">
        <v>45</v>
      </c>
      <c r="C105" s="37" t="s">
        <v>17</v>
      </c>
      <c r="D105" s="131"/>
      <c r="E105" s="132"/>
    </row>
    <row r="106" spans="1:5" s="11" customFormat="1" ht="15" customHeight="1" x14ac:dyDescent="0.25">
      <c r="A106" s="76"/>
      <c r="B106" s="40" t="s">
        <v>46</v>
      </c>
      <c r="C106" s="37" t="s">
        <v>17</v>
      </c>
      <c r="D106" s="131"/>
      <c r="E106" s="132"/>
    </row>
    <row r="107" spans="1:5" s="11" customFormat="1" ht="15" customHeight="1" x14ac:dyDescent="0.25">
      <c r="A107" s="76"/>
      <c r="B107" s="40" t="s">
        <v>47</v>
      </c>
      <c r="C107" s="37" t="s">
        <v>17</v>
      </c>
      <c r="D107" s="131"/>
      <c r="E107" s="132"/>
    </row>
    <row r="108" spans="1:5" s="11" customFormat="1" ht="15" customHeight="1" x14ac:dyDescent="0.25">
      <c r="A108" s="76"/>
      <c r="B108" s="40" t="s">
        <v>48</v>
      </c>
      <c r="C108" s="37" t="s">
        <v>17</v>
      </c>
      <c r="D108" s="131"/>
      <c r="E108" s="132"/>
    </row>
    <row r="109" spans="1:5" s="11" customFormat="1" ht="15" customHeight="1" x14ac:dyDescent="0.25">
      <c r="A109" s="76"/>
      <c r="B109" s="40" t="s">
        <v>49</v>
      </c>
      <c r="C109" s="37" t="s">
        <v>17</v>
      </c>
      <c r="D109" s="131"/>
      <c r="E109" s="132"/>
    </row>
    <row r="110" spans="1:5" s="11" customFormat="1" ht="15" customHeight="1" x14ac:dyDescent="0.25">
      <c r="A110" s="76"/>
      <c r="B110" s="40" t="s">
        <v>50</v>
      </c>
      <c r="C110" s="37" t="s">
        <v>17</v>
      </c>
      <c r="D110" s="131"/>
      <c r="E110" s="132"/>
    </row>
    <row r="111" spans="1:5" s="11" customFormat="1" ht="15" customHeight="1" x14ac:dyDescent="0.25">
      <c r="A111" s="51">
        <f>+A103+1</f>
        <v>37</v>
      </c>
      <c r="B111" s="133" t="s">
        <v>116</v>
      </c>
      <c r="C111" s="133"/>
      <c r="D111" s="133"/>
      <c r="E111" s="143"/>
    </row>
    <row r="112" spans="1:5" s="11" customFormat="1" ht="15" customHeight="1" x14ac:dyDescent="0.25">
      <c r="A112" s="75"/>
      <c r="B112" s="40" t="s">
        <v>527</v>
      </c>
      <c r="C112" s="37" t="s">
        <v>17</v>
      </c>
      <c r="D112" s="131"/>
      <c r="E112" s="132"/>
    </row>
    <row r="113" spans="1:9" s="11" customFormat="1" ht="15" customHeight="1" x14ac:dyDescent="0.25">
      <c r="A113" s="75"/>
      <c r="B113" s="40" t="s">
        <v>51</v>
      </c>
      <c r="C113" s="37" t="s">
        <v>17</v>
      </c>
      <c r="D113" s="131"/>
      <c r="E113" s="132"/>
    </row>
    <row r="114" spans="1:9" s="11" customFormat="1" ht="15" customHeight="1" x14ac:dyDescent="0.25">
      <c r="A114" s="75"/>
      <c r="B114" s="40" t="s">
        <v>52</v>
      </c>
      <c r="C114" s="37" t="s">
        <v>17</v>
      </c>
      <c r="D114" s="131"/>
      <c r="E114" s="132"/>
    </row>
    <row r="115" spans="1:9" s="11" customFormat="1" ht="15" customHeight="1" x14ac:dyDescent="0.25">
      <c r="A115" s="75"/>
      <c r="B115" s="40" t="s">
        <v>526</v>
      </c>
      <c r="C115" s="37" t="s">
        <v>17</v>
      </c>
      <c r="D115" s="131"/>
      <c r="E115" s="132"/>
    </row>
    <row r="116" spans="1:9" s="11" customFormat="1" ht="15" customHeight="1" x14ac:dyDescent="0.25">
      <c r="A116" s="75"/>
      <c r="B116" s="40" t="s">
        <v>525</v>
      </c>
      <c r="C116" s="37" t="s">
        <v>17</v>
      </c>
      <c r="D116" s="131"/>
      <c r="E116" s="132"/>
    </row>
    <row r="117" spans="1:9" s="11" customFormat="1" ht="30" customHeight="1" x14ac:dyDescent="0.25">
      <c r="A117" s="51">
        <f>+A111+1</f>
        <v>38</v>
      </c>
      <c r="B117" s="91" t="s">
        <v>117</v>
      </c>
      <c r="C117" s="38"/>
      <c r="D117" s="135"/>
      <c r="E117" s="136"/>
    </row>
    <row r="118" spans="1:9" s="11" customFormat="1" x14ac:dyDescent="0.25">
      <c r="A118" s="51">
        <f>+A117+1</f>
        <v>39</v>
      </c>
      <c r="B118" s="133" t="s">
        <v>128</v>
      </c>
      <c r="C118" s="133" t="s">
        <v>93</v>
      </c>
      <c r="D118" s="133" t="s">
        <v>94</v>
      </c>
      <c r="E118" s="143"/>
    </row>
    <row r="119" spans="1:9" s="11" customFormat="1" x14ac:dyDescent="0.25">
      <c r="A119" s="51"/>
      <c r="B119" s="40" t="s">
        <v>94</v>
      </c>
      <c r="C119" s="37" t="s">
        <v>17</v>
      </c>
      <c r="D119" s="131"/>
      <c r="E119" s="132"/>
    </row>
    <row r="120" spans="1:9" s="11" customFormat="1" ht="30" customHeight="1" x14ac:dyDescent="0.25">
      <c r="A120" s="51"/>
      <c r="B120" s="40" t="s">
        <v>53</v>
      </c>
      <c r="C120" s="37" t="s">
        <v>17</v>
      </c>
      <c r="D120" s="131"/>
      <c r="E120" s="132"/>
    </row>
    <row r="121" spans="1:9" s="11" customFormat="1" x14ac:dyDescent="0.25">
      <c r="A121" s="51"/>
      <c r="B121" s="40" t="s">
        <v>54</v>
      </c>
      <c r="C121" s="37" t="s">
        <v>17</v>
      </c>
      <c r="D121" s="131"/>
      <c r="E121" s="132"/>
    </row>
    <row r="122" spans="1:9" s="11" customFormat="1" ht="31.5" customHeight="1" x14ac:dyDescent="0.25">
      <c r="A122" s="51">
        <f>+A118+1</f>
        <v>40</v>
      </c>
      <c r="B122" s="42" t="s">
        <v>118</v>
      </c>
      <c r="C122" s="37" t="s">
        <v>6</v>
      </c>
      <c r="D122" s="131"/>
      <c r="E122" s="132"/>
    </row>
    <row r="123" spans="1:9" s="11" customFormat="1" x14ac:dyDescent="0.25">
      <c r="A123" s="51">
        <f>+A122+1</f>
        <v>41</v>
      </c>
      <c r="B123" s="133" t="s">
        <v>148</v>
      </c>
      <c r="C123" s="133"/>
      <c r="D123" s="133"/>
      <c r="E123" s="143"/>
    </row>
    <row r="124" spans="1:9" s="11" customFormat="1" ht="15" customHeight="1" x14ac:dyDescent="0.25">
      <c r="A124" s="75"/>
      <c r="B124" s="40" t="s">
        <v>55</v>
      </c>
      <c r="C124" s="37" t="s">
        <v>17</v>
      </c>
      <c r="D124" s="131"/>
      <c r="E124" s="132"/>
    </row>
    <row r="125" spans="1:9" s="11" customFormat="1" ht="15" customHeight="1" x14ac:dyDescent="0.25">
      <c r="A125" s="75"/>
      <c r="B125" s="40" t="s">
        <v>56</v>
      </c>
      <c r="C125" s="37" t="s">
        <v>17</v>
      </c>
      <c r="D125" s="131"/>
      <c r="E125" s="132"/>
    </row>
    <row r="126" spans="1:9" s="11" customFormat="1" ht="15" customHeight="1" x14ac:dyDescent="0.25">
      <c r="A126" s="77"/>
    </row>
    <row r="127" spans="1:9" s="11" customFormat="1" ht="60" x14ac:dyDescent="0.25">
      <c r="A127" s="51">
        <f>+A123+1</f>
        <v>42</v>
      </c>
      <c r="B127" s="42" t="s">
        <v>119</v>
      </c>
      <c r="C127" s="5"/>
      <c r="D127" s="13" t="s">
        <v>62</v>
      </c>
      <c r="E127" s="13" t="s">
        <v>529</v>
      </c>
      <c r="F127" s="13" t="s">
        <v>149</v>
      </c>
      <c r="G127" s="13" t="s">
        <v>63</v>
      </c>
      <c r="H127" s="13" t="s">
        <v>528</v>
      </c>
      <c r="I127" s="13" t="s">
        <v>64</v>
      </c>
    </row>
    <row r="128" spans="1:9" s="11" customFormat="1" ht="15" customHeight="1" x14ac:dyDescent="0.25">
      <c r="A128" s="75"/>
      <c r="B128" s="40" t="s">
        <v>58</v>
      </c>
      <c r="C128" s="38"/>
      <c r="D128" s="47"/>
      <c r="E128" s="47"/>
      <c r="F128" s="47"/>
      <c r="G128" s="47"/>
      <c r="H128" s="47"/>
      <c r="I128" s="6"/>
    </row>
    <row r="129" spans="1:9" s="11" customFormat="1" ht="15" customHeight="1" x14ac:dyDescent="0.25">
      <c r="A129" s="75"/>
      <c r="B129" s="40" t="s">
        <v>59</v>
      </c>
      <c r="C129" s="38"/>
      <c r="D129" s="47"/>
      <c r="E129" s="47"/>
      <c r="F129" s="47"/>
      <c r="G129" s="47"/>
      <c r="H129" s="47"/>
      <c r="I129" s="6"/>
    </row>
    <row r="130" spans="1:9" s="11" customFormat="1" ht="15" customHeight="1" x14ac:dyDescent="0.25">
      <c r="A130" s="75"/>
      <c r="B130" s="40" t="s">
        <v>60</v>
      </c>
      <c r="C130" s="38"/>
      <c r="D130" s="47"/>
      <c r="E130" s="47"/>
      <c r="F130" s="47"/>
      <c r="G130" s="47"/>
      <c r="H130" s="47"/>
      <c r="I130" s="6"/>
    </row>
    <row r="131" spans="1:9" s="11" customFormat="1" ht="15" customHeight="1" x14ac:dyDescent="0.25">
      <c r="A131" s="75"/>
      <c r="B131" s="40" t="s">
        <v>68</v>
      </c>
      <c r="C131" s="38"/>
      <c r="D131" s="47"/>
      <c r="E131" s="47"/>
      <c r="F131" s="47"/>
      <c r="G131" s="47"/>
      <c r="H131" s="47"/>
      <c r="I131" s="6"/>
    </row>
    <row r="132" spans="1:9" s="11" customFormat="1" ht="15" customHeight="1" x14ac:dyDescent="0.25">
      <c r="A132" s="75"/>
      <c r="B132" s="40" t="s">
        <v>61</v>
      </c>
      <c r="C132" s="38"/>
      <c r="D132" s="47"/>
      <c r="E132" s="47"/>
      <c r="F132" s="47"/>
      <c r="G132" s="47"/>
      <c r="H132" s="47"/>
      <c r="I132" s="39"/>
    </row>
    <row r="133" spans="1:9" s="11" customFormat="1" ht="15" customHeight="1" x14ac:dyDescent="0.25">
      <c r="A133" s="77"/>
    </row>
    <row r="134" spans="1:9" s="11" customFormat="1" ht="15" customHeight="1" x14ac:dyDescent="0.25">
      <c r="A134" s="51">
        <f>+A127+1</f>
        <v>43</v>
      </c>
      <c r="B134" s="42" t="s">
        <v>120</v>
      </c>
      <c r="C134" s="42"/>
      <c r="D134" s="42"/>
      <c r="E134" s="43"/>
    </row>
    <row r="135" spans="1:9" s="11" customFormat="1" ht="15" customHeight="1" x14ac:dyDescent="0.25">
      <c r="A135" s="75"/>
      <c r="B135" s="40" t="s">
        <v>65</v>
      </c>
      <c r="C135" s="37" t="s">
        <v>17</v>
      </c>
      <c r="D135" s="131"/>
      <c r="E135" s="132"/>
    </row>
    <row r="136" spans="1:9" s="11" customFormat="1" ht="15" customHeight="1" x14ac:dyDescent="0.25">
      <c r="A136" s="75"/>
      <c r="B136" s="40" t="s">
        <v>66</v>
      </c>
      <c r="C136" s="37" t="s">
        <v>17</v>
      </c>
      <c r="D136" s="131"/>
      <c r="E136" s="132"/>
    </row>
    <row r="137" spans="1:9" s="11" customFormat="1" ht="15" customHeight="1" x14ac:dyDescent="0.25">
      <c r="A137" s="75"/>
      <c r="B137" s="40" t="s">
        <v>67</v>
      </c>
      <c r="C137" s="37" t="s">
        <v>17</v>
      </c>
      <c r="D137" s="131"/>
      <c r="E137" s="132"/>
    </row>
    <row r="138" spans="1:9" s="11" customFormat="1" ht="15" customHeight="1" x14ac:dyDescent="0.25">
      <c r="A138" s="75"/>
      <c r="B138" s="40" t="s">
        <v>292</v>
      </c>
      <c r="C138" s="37" t="s">
        <v>17</v>
      </c>
      <c r="D138" s="131"/>
      <c r="E138" s="132"/>
    </row>
    <row r="139" spans="1:9" s="11" customFormat="1" ht="15" customHeight="1" x14ac:dyDescent="0.25">
      <c r="A139" s="75"/>
      <c r="B139" s="40" t="s">
        <v>18</v>
      </c>
      <c r="C139" s="38"/>
      <c r="D139" s="135"/>
      <c r="E139" s="136"/>
    </row>
    <row r="140" spans="1:9" s="11" customFormat="1" ht="30" customHeight="1" x14ac:dyDescent="0.25">
      <c r="A140" s="51">
        <f>+A134+1</f>
        <v>44</v>
      </c>
      <c r="B140" s="42" t="s">
        <v>121</v>
      </c>
      <c r="C140" s="37" t="s">
        <v>6</v>
      </c>
      <c r="D140" s="131"/>
      <c r="E140" s="132"/>
    </row>
    <row r="141" spans="1:9" s="11" customFormat="1" ht="30" x14ac:dyDescent="0.25">
      <c r="A141" s="51">
        <f>+A140+1</f>
        <v>45</v>
      </c>
      <c r="B141" s="78" t="s">
        <v>293</v>
      </c>
      <c r="C141" s="37" t="s">
        <v>6</v>
      </c>
      <c r="D141" s="131"/>
      <c r="E141" s="132"/>
    </row>
    <row r="142" spans="1:9" s="11" customFormat="1" ht="45" x14ac:dyDescent="0.25">
      <c r="A142" s="51">
        <f>+A141+1</f>
        <v>46</v>
      </c>
      <c r="B142" s="79" t="s">
        <v>294</v>
      </c>
      <c r="C142" s="37" t="s">
        <v>6</v>
      </c>
      <c r="D142" s="131"/>
      <c r="E142" s="132"/>
    </row>
    <row r="143" spans="1:9" s="11" customFormat="1" ht="30" x14ac:dyDescent="0.25">
      <c r="A143" s="51">
        <f>+A142+1</f>
        <v>47</v>
      </c>
      <c r="B143" s="78" t="s">
        <v>150</v>
      </c>
      <c r="C143" s="37" t="s">
        <v>6</v>
      </c>
      <c r="D143" s="131"/>
      <c r="E143" s="132"/>
    </row>
    <row r="144" spans="1:9" s="11" customFormat="1" x14ac:dyDescent="0.25">
      <c r="A144" s="50"/>
      <c r="B144" s="9"/>
      <c r="C144" s="9"/>
      <c r="D144" s="46"/>
      <c r="E144" s="45"/>
    </row>
    <row r="145" spans="1:7" s="11" customFormat="1" x14ac:dyDescent="0.25">
      <c r="A145" s="50"/>
      <c r="B145" s="9"/>
      <c r="C145" s="9"/>
      <c r="D145" s="46"/>
      <c r="E145" s="45"/>
    </row>
    <row r="146" spans="1:7" s="11" customFormat="1" x14ac:dyDescent="0.25">
      <c r="A146" s="52" t="s">
        <v>69</v>
      </c>
      <c r="B146" s="12"/>
      <c r="C146" s="9"/>
      <c r="D146" s="46"/>
      <c r="E146" s="45"/>
    </row>
    <row r="147" spans="1:7" s="9" customFormat="1" x14ac:dyDescent="0.25">
      <c r="A147" s="50"/>
      <c r="D147" s="46"/>
      <c r="E147" s="46"/>
    </row>
    <row r="148" spans="1:7" s="11" customFormat="1" ht="15" customHeight="1" x14ac:dyDescent="0.25">
      <c r="A148" s="51">
        <f>+A143+1</f>
        <v>48</v>
      </c>
      <c r="B148" s="42" t="s">
        <v>123</v>
      </c>
      <c r="C148" s="37" t="s">
        <v>6</v>
      </c>
      <c r="D148" s="131"/>
      <c r="E148" s="132"/>
    </row>
    <row r="149" spans="1:7" s="11" customFormat="1" ht="15" customHeight="1" x14ac:dyDescent="0.25">
      <c r="A149" s="51">
        <f>+A148+1</f>
        <v>49</v>
      </c>
      <c r="B149" s="42" t="s">
        <v>295</v>
      </c>
      <c r="C149" s="5"/>
      <c r="D149" s="135"/>
      <c r="E149" s="136"/>
    </row>
    <row r="150" spans="1:7" s="11" customFormat="1" x14ac:dyDescent="0.25">
      <c r="A150" s="50"/>
      <c r="B150" s="9"/>
      <c r="C150" s="9"/>
      <c r="D150" s="46"/>
      <c r="E150" s="45"/>
    </row>
    <row r="151" spans="1:7" s="11" customFormat="1" x14ac:dyDescent="0.25">
      <c r="A151" s="50"/>
      <c r="B151" s="9"/>
      <c r="C151" s="9"/>
      <c r="D151" s="46"/>
      <c r="E151" s="45"/>
    </row>
    <row r="152" spans="1:7" s="11" customFormat="1" x14ac:dyDescent="0.25">
      <c r="A152" s="52" t="s">
        <v>70</v>
      </c>
      <c r="B152" s="12"/>
      <c r="C152" s="9"/>
      <c r="D152" s="46"/>
      <c r="E152" s="45"/>
    </row>
    <row r="153" spans="1:7" s="9" customFormat="1" x14ac:dyDescent="0.25">
      <c r="A153" s="50"/>
      <c r="D153" s="46"/>
      <c r="E153" s="46"/>
    </row>
    <row r="154" spans="1:7" s="11" customFormat="1" ht="30" x14ac:dyDescent="0.25">
      <c r="A154" s="51">
        <f>+A149+1</f>
        <v>50</v>
      </c>
      <c r="B154" s="42" t="s">
        <v>124</v>
      </c>
      <c r="C154" s="5"/>
      <c r="D154" s="13" t="s">
        <v>71</v>
      </c>
      <c r="E154" s="13" t="s">
        <v>74</v>
      </c>
      <c r="F154" s="13" t="s">
        <v>72</v>
      </c>
      <c r="G154" s="13" t="s">
        <v>73</v>
      </c>
    </row>
    <row r="155" spans="1:7" s="11" customFormat="1" ht="15" customHeight="1" x14ac:dyDescent="0.25">
      <c r="A155" s="75"/>
      <c r="B155" s="40" t="s">
        <v>296</v>
      </c>
      <c r="C155" s="37"/>
      <c r="D155" s="47"/>
      <c r="E155" s="47"/>
      <c r="F155" s="6"/>
      <c r="G155" s="6"/>
    </row>
    <row r="156" spans="1:7" s="11" customFormat="1" ht="15" customHeight="1" x14ac:dyDescent="0.25">
      <c r="A156" s="75"/>
      <c r="B156" s="40" t="s">
        <v>44</v>
      </c>
      <c r="C156" s="37"/>
      <c r="D156" s="47"/>
      <c r="E156" s="47"/>
      <c r="F156" s="6"/>
      <c r="G156" s="6"/>
    </row>
    <row r="157" spans="1:7" s="11" customFormat="1" ht="15" customHeight="1" x14ac:dyDescent="0.25">
      <c r="A157" s="75"/>
      <c r="B157" s="40" t="s">
        <v>45</v>
      </c>
      <c r="C157" s="37"/>
      <c r="D157" s="47"/>
      <c r="E157" s="47"/>
      <c r="F157" s="6"/>
      <c r="G157" s="6"/>
    </row>
    <row r="158" spans="1:7" s="11" customFormat="1" ht="15" customHeight="1" x14ac:dyDescent="0.25">
      <c r="A158" s="75"/>
      <c r="B158" s="40" t="s">
        <v>75</v>
      </c>
      <c r="C158" s="37"/>
      <c r="D158" s="47"/>
      <c r="E158" s="47"/>
      <c r="F158" s="6"/>
      <c r="G158" s="6"/>
    </row>
    <row r="159" spans="1:7" s="11" customFormat="1" ht="15" customHeight="1" x14ac:dyDescent="0.25">
      <c r="A159" s="75"/>
      <c r="B159" s="40" t="s">
        <v>76</v>
      </c>
      <c r="C159" s="37"/>
      <c r="D159" s="47"/>
      <c r="E159" s="47"/>
      <c r="F159" s="6"/>
      <c r="G159" s="6"/>
    </row>
    <row r="160" spans="1:7" s="11" customFormat="1" ht="15" customHeight="1" x14ac:dyDescent="0.25">
      <c r="A160" s="77"/>
    </row>
    <row r="161" spans="1:5" s="11" customFormat="1" ht="30" customHeight="1" x14ac:dyDescent="0.25">
      <c r="A161" s="51">
        <f>+A154+1</f>
        <v>51</v>
      </c>
      <c r="B161" s="42" t="s">
        <v>130</v>
      </c>
      <c r="C161" s="37" t="s">
        <v>6</v>
      </c>
      <c r="D161" s="131"/>
      <c r="E161" s="132"/>
    </row>
    <row r="162" spans="1:5" s="11" customFormat="1" ht="15" customHeight="1" x14ac:dyDescent="0.25">
      <c r="A162" s="51">
        <f>+A161+1</f>
        <v>52</v>
      </c>
      <c r="B162" s="42" t="s">
        <v>125</v>
      </c>
      <c r="C162" s="37" t="s">
        <v>6</v>
      </c>
      <c r="D162" s="131"/>
      <c r="E162" s="132"/>
    </row>
    <row r="163" spans="1:5" s="11" customFormat="1" ht="15" customHeight="1" x14ac:dyDescent="0.25">
      <c r="A163" s="51">
        <f t="shared" ref="A163:A166" si="5">+A162+1</f>
        <v>53</v>
      </c>
      <c r="B163" s="42" t="s">
        <v>126</v>
      </c>
      <c r="C163" s="37" t="s">
        <v>6</v>
      </c>
      <c r="D163" s="131"/>
      <c r="E163" s="132"/>
    </row>
    <row r="164" spans="1:5" s="11" customFormat="1" ht="15" customHeight="1" x14ac:dyDescent="0.25">
      <c r="A164" s="51">
        <f t="shared" si="5"/>
        <v>54</v>
      </c>
      <c r="B164" s="42" t="s">
        <v>127</v>
      </c>
      <c r="C164" s="37" t="s">
        <v>6</v>
      </c>
      <c r="D164" s="131"/>
      <c r="E164" s="132"/>
    </row>
    <row r="165" spans="1:5" s="11" customFormat="1" ht="30" customHeight="1" x14ac:dyDescent="0.25">
      <c r="A165" s="51">
        <f t="shared" si="5"/>
        <v>55</v>
      </c>
      <c r="B165" s="78" t="s">
        <v>151</v>
      </c>
      <c r="C165" s="37" t="s">
        <v>6</v>
      </c>
      <c r="D165" s="131"/>
      <c r="E165" s="132"/>
    </row>
    <row r="166" spans="1:5" s="11" customFormat="1" x14ac:dyDescent="0.25">
      <c r="A166" s="51">
        <f t="shared" si="5"/>
        <v>56</v>
      </c>
      <c r="B166" s="42" t="s">
        <v>297</v>
      </c>
      <c r="C166" s="37" t="s">
        <v>6</v>
      </c>
      <c r="D166" s="131"/>
      <c r="E166" s="132"/>
    </row>
  </sheetData>
  <sheetProtection sheet="1" objects="1" scenarios="1"/>
  <mergeCells count="124">
    <mergeCell ref="A20:B20"/>
    <mergeCell ref="A22:B22"/>
    <mergeCell ref="D54:E54"/>
    <mergeCell ref="D161:E161"/>
    <mergeCell ref="D162:E162"/>
    <mergeCell ref="D165:E165"/>
    <mergeCell ref="B32:E32"/>
    <mergeCell ref="D85:E85"/>
    <mergeCell ref="D166:E166"/>
    <mergeCell ref="D51:E51"/>
    <mergeCell ref="D52:E52"/>
    <mergeCell ref="D143:E143"/>
    <mergeCell ref="D149:E149"/>
    <mergeCell ref="D136:E136"/>
    <mergeCell ref="D137:E137"/>
    <mergeCell ref="D139:E139"/>
    <mergeCell ref="D141:E141"/>
    <mergeCell ref="D164:E164"/>
    <mergeCell ref="D148:E148"/>
    <mergeCell ref="B75:E75"/>
    <mergeCell ref="B111:E111"/>
    <mergeCell ref="B123:E123"/>
    <mergeCell ref="D81:E81"/>
    <mergeCell ref="D72:E72"/>
    <mergeCell ref="D84:E84"/>
    <mergeCell ref="D86:E86"/>
    <mergeCell ref="D87:E87"/>
    <mergeCell ref="D79:E79"/>
    <mergeCell ref="D82:E82"/>
    <mergeCell ref="D105:E105"/>
    <mergeCell ref="D95:E95"/>
    <mergeCell ref="D96:E96"/>
    <mergeCell ref="D97:E97"/>
    <mergeCell ref="B94:E94"/>
    <mergeCell ref="B83:E83"/>
    <mergeCell ref="D88:E88"/>
    <mergeCell ref="D93:E93"/>
    <mergeCell ref="D112:E112"/>
    <mergeCell ref="D113:E113"/>
    <mergeCell ref="D115:E115"/>
    <mergeCell ref="D116:E116"/>
    <mergeCell ref="D108:E108"/>
    <mergeCell ref="D109:E109"/>
    <mergeCell ref="D110:E110"/>
    <mergeCell ref="D102:E102"/>
    <mergeCell ref="D106:E106"/>
    <mergeCell ref="D107:E107"/>
    <mergeCell ref="D104:E104"/>
    <mergeCell ref="B103:E103"/>
    <mergeCell ref="D140:E140"/>
    <mergeCell ref="D135:E135"/>
    <mergeCell ref="D114:E114"/>
    <mergeCell ref="D117:E117"/>
    <mergeCell ref="D138:E138"/>
    <mergeCell ref="D163:E163"/>
    <mergeCell ref="D119:E119"/>
    <mergeCell ref="D120:E120"/>
    <mergeCell ref="D121:E121"/>
    <mergeCell ref="B118:E118"/>
    <mergeCell ref="D125:E125"/>
    <mergeCell ref="D122:E122"/>
    <mergeCell ref="D124:E124"/>
    <mergeCell ref="D142:E142"/>
    <mergeCell ref="D60:E60"/>
    <mergeCell ref="D61:E61"/>
    <mergeCell ref="D63:E63"/>
    <mergeCell ref="D70:E70"/>
    <mergeCell ref="D55:E55"/>
    <mergeCell ref="D64:E64"/>
    <mergeCell ref="D71:E71"/>
    <mergeCell ref="D74:E74"/>
    <mergeCell ref="D36:E36"/>
    <mergeCell ref="D65:E65"/>
    <mergeCell ref="D59:E59"/>
    <mergeCell ref="B56:E56"/>
    <mergeCell ref="D62:E62"/>
    <mergeCell ref="D69:E69"/>
    <mergeCell ref="D68:E68"/>
    <mergeCell ref="D57:E57"/>
    <mergeCell ref="D48:E48"/>
    <mergeCell ref="D49:E49"/>
    <mergeCell ref="D73:E73"/>
    <mergeCell ref="A8:B8"/>
    <mergeCell ref="A9:B9"/>
    <mergeCell ref="A12:B12"/>
    <mergeCell ref="A14:B14"/>
    <mergeCell ref="A11:B11"/>
    <mergeCell ref="A15:B15"/>
    <mergeCell ref="A16:B16"/>
    <mergeCell ref="A17:B17"/>
    <mergeCell ref="D8:E8"/>
    <mergeCell ref="D9:E9"/>
    <mergeCell ref="D12:E12"/>
    <mergeCell ref="D14:E14"/>
    <mergeCell ref="D11:E11"/>
    <mergeCell ref="D15:E15"/>
    <mergeCell ref="D16:E16"/>
    <mergeCell ref="D17:E17"/>
    <mergeCell ref="A10:B10"/>
    <mergeCell ref="D10:E10"/>
    <mergeCell ref="D31:E31"/>
    <mergeCell ref="D80:E80"/>
    <mergeCell ref="B101:E101"/>
    <mergeCell ref="A21:B21"/>
    <mergeCell ref="D50:E50"/>
    <mergeCell ref="D66:E66"/>
    <mergeCell ref="D67:E67"/>
    <mergeCell ref="A13:B13"/>
    <mergeCell ref="D13:E13"/>
    <mergeCell ref="D29:E29"/>
    <mergeCell ref="D30:E30"/>
    <mergeCell ref="D47:E47"/>
    <mergeCell ref="D76:E76"/>
    <mergeCell ref="D77:E77"/>
    <mergeCell ref="D78:E78"/>
    <mergeCell ref="D27:E27"/>
    <mergeCell ref="D28:E28"/>
    <mergeCell ref="D33:E33"/>
    <mergeCell ref="D58:E58"/>
    <mergeCell ref="D37:E37"/>
    <mergeCell ref="D35:E35"/>
    <mergeCell ref="D38:E38"/>
    <mergeCell ref="D53:E53"/>
    <mergeCell ref="D34:E34"/>
  </mergeCells>
  <dataValidations count="3">
    <dataValidation type="list" allowBlank="1" showInputMessage="1" showErrorMessage="1" sqref="D128:H132 I128:I131 D155:G159">
      <formula1>"Check"</formula1>
    </dataValidation>
    <dataValidation type="list" allowBlank="1" showInputMessage="1" showErrorMessage="1" sqref="D148 D94:D97 D47:D50 D52:D55 D84:D88 D57:D74 D33:D36 D102 D161:D166 D104:D110 D31 D124:D125 D76:D82 D140:D143 D9:D10 D118:D122 D135:D138 D38 D27:D29 D112:D116">
      <formula1>Sublist_Left</formula1>
    </dataValidation>
    <dataValidation type="whole" operator="greaterThanOrEqual" allowBlank="1" showInputMessage="1" showErrorMessage="1" error="Please enter a whole number" sqref="D149:E149 D117:E117 D30 D93:E93 D51 D44:F45 D20:E22 D12 E99:E100 D100">
      <formula1>0</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182"/>
  <sheetViews>
    <sheetView workbookViewId="0">
      <pane ySplit="1" topLeftCell="A161" activePane="bottomLeft" state="frozen"/>
      <selection pane="bottomLeft" activeCell="B182" sqref="B182"/>
    </sheetView>
  </sheetViews>
  <sheetFormatPr defaultRowHeight="15" x14ac:dyDescent="0.25"/>
  <cols>
    <col min="1" max="1" width="30.28515625" style="4" customWidth="1"/>
    <col min="2" max="2" width="30.5703125" style="88" customWidth="1"/>
    <col min="3" max="3" width="35.85546875" style="1" customWidth="1"/>
    <col min="4" max="5" width="11.7109375" style="2" customWidth="1"/>
    <col min="6" max="16384" width="9.140625" style="1"/>
  </cols>
  <sheetData>
    <row r="1" spans="1:5" s="2" customFormat="1" ht="30" x14ac:dyDescent="0.25">
      <c r="A1" s="2" t="s">
        <v>4</v>
      </c>
      <c r="B1" s="16" t="s">
        <v>1</v>
      </c>
      <c r="C1" s="2" t="s">
        <v>0</v>
      </c>
      <c r="D1" s="2" t="s">
        <v>3</v>
      </c>
      <c r="E1" s="2" t="s">
        <v>5</v>
      </c>
    </row>
    <row r="2" spans="1:5" x14ac:dyDescent="0.25">
      <c r="A2" s="127" t="s">
        <v>160</v>
      </c>
      <c r="B2" s="128">
        <f>IF(Entry!D8&lt;&gt;"",YEAR(Entry!D8)&amp;"-"&amp;TEXT(MONTH(Entry!D8),"00")&amp;"-"&amp;TEXT(DAY(Entry!D8),"00"),0)</f>
        <v>0</v>
      </c>
      <c r="D2" s="2" t="s">
        <v>2</v>
      </c>
    </row>
    <row r="3" spans="1:5" x14ac:dyDescent="0.25">
      <c r="A3" s="127" t="s">
        <v>161</v>
      </c>
      <c r="B3" s="128">
        <f>Entry!D9</f>
        <v>0</v>
      </c>
      <c r="D3" s="2" t="s">
        <v>2</v>
      </c>
      <c r="E3" s="2" t="s">
        <v>2</v>
      </c>
    </row>
    <row r="4" spans="1:5" x14ac:dyDescent="0.25">
      <c r="A4" s="127" t="s">
        <v>159</v>
      </c>
      <c r="B4" s="128">
        <f>Entry!D10</f>
        <v>0</v>
      </c>
    </row>
    <row r="5" spans="1:5" x14ac:dyDescent="0.25">
      <c r="A5" s="127" t="s">
        <v>162</v>
      </c>
      <c r="B5" s="128">
        <f>Entry!D11</f>
        <v>0</v>
      </c>
    </row>
    <row r="6" spans="1:5" x14ac:dyDescent="0.25">
      <c r="A6" s="127" t="s">
        <v>163</v>
      </c>
      <c r="B6" s="128">
        <f>Entry!D12</f>
        <v>0</v>
      </c>
      <c r="D6" s="2" t="s">
        <v>2</v>
      </c>
      <c r="E6" s="2" t="s">
        <v>2</v>
      </c>
    </row>
    <row r="7" spans="1:5" x14ac:dyDescent="0.25">
      <c r="A7" s="127" t="s">
        <v>164</v>
      </c>
      <c r="B7" s="128">
        <f>Entry!D13</f>
        <v>0</v>
      </c>
    </row>
    <row r="8" spans="1:5" x14ac:dyDescent="0.25">
      <c r="A8" s="127" t="s">
        <v>166</v>
      </c>
      <c r="B8" s="128">
        <f>Entry!D14</f>
        <v>0</v>
      </c>
    </row>
    <row r="9" spans="1:5" x14ac:dyDescent="0.25">
      <c r="A9" s="127" t="s">
        <v>165</v>
      </c>
      <c r="B9" s="128">
        <f>Entry!D15</f>
        <v>0</v>
      </c>
    </row>
    <row r="10" spans="1:5" x14ac:dyDescent="0.25">
      <c r="A10" s="127" t="s">
        <v>167</v>
      </c>
      <c r="B10" s="128">
        <f>Entry!D16</f>
        <v>0</v>
      </c>
    </row>
    <row r="11" spans="1:5" x14ac:dyDescent="0.25">
      <c r="A11" s="127" t="s">
        <v>168</v>
      </c>
      <c r="B11" s="128">
        <f>Entry!D17</f>
        <v>0</v>
      </c>
    </row>
    <row r="12" spans="1:5" x14ac:dyDescent="0.25">
      <c r="A12" s="127" t="s">
        <v>169</v>
      </c>
      <c r="B12" s="129">
        <f>Entry!D20</f>
        <v>0</v>
      </c>
    </row>
    <row r="13" spans="1:5" x14ac:dyDescent="0.25">
      <c r="A13" s="127" t="s">
        <v>170</v>
      </c>
      <c r="B13" s="129">
        <f>Entry!E20</f>
        <v>0</v>
      </c>
    </row>
    <row r="14" spans="1:5" x14ac:dyDescent="0.25">
      <c r="A14" s="127" t="s">
        <v>171</v>
      </c>
      <c r="B14" s="129">
        <f>Entry!D21</f>
        <v>0</v>
      </c>
    </row>
    <row r="15" spans="1:5" x14ac:dyDescent="0.25">
      <c r="A15" s="127" t="s">
        <v>172</v>
      </c>
      <c r="B15" s="129">
        <f>Entry!E21</f>
        <v>0</v>
      </c>
    </row>
    <row r="16" spans="1:5" s="2" customFormat="1" x14ac:dyDescent="0.25">
      <c r="A16" s="127" t="s">
        <v>173</v>
      </c>
      <c r="B16" s="130">
        <f>Entry!D22</f>
        <v>0</v>
      </c>
      <c r="C16" s="1"/>
    </row>
    <row r="17" spans="1:2" x14ac:dyDescent="0.25">
      <c r="A17" s="127" t="s">
        <v>174</v>
      </c>
      <c r="B17" s="129">
        <f>Entry!E22</f>
        <v>0</v>
      </c>
    </row>
    <row r="18" spans="1:2" x14ac:dyDescent="0.25">
      <c r="A18" s="127" t="s">
        <v>311</v>
      </c>
      <c r="B18" s="128">
        <f>IF(Entry!D27="All the time",1,0)</f>
        <v>0</v>
      </c>
    </row>
    <row r="19" spans="1:2" x14ac:dyDescent="0.25">
      <c r="A19" s="127" t="s">
        <v>312</v>
      </c>
      <c r="B19" s="128">
        <f>IF(Entry!D27="Yes, but supply is not regular",1,0)</f>
        <v>0</v>
      </c>
    </row>
    <row r="20" spans="1:2" x14ac:dyDescent="0.25">
      <c r="A20" s="127" t="s">
        <v>309</v>
      </c>
      <c r="B20" s="128">
        <f>IF(OR(Entry!D27="No drinking water in the school",Entry!D27=""),1,0)</f>
        <v>1</v>
      </c>
    </row>
    <row r="21" spans="1:2" x14ac:dyDescent="0.25">
      <c r="A21" s="127" t="s">
        <v>178</v>
      </c>
      <c r="B21" s="128">
        <f>Entry!D28</f>
        <v>0</v>
      </c>
    </row>
    <row r="22" spans="1:2" x14ac:dyDescent="0.25">
      <c r="A22" s="127" t="s">
        <v>181</v>
      </c>
      <c r="B22" s="128">
        <f>Entry!D29</f>
        <v>0</v>
      </c>
    </row>
    <row r="23" spans="1:2" x14ac:dyDescent="0.25">
      <c r="A23" s="127" t="s">
        <v>182</v>
      </c>
      <c r="B23" s="128">
        <f>Entry!D30</f>
        <v>0</v>
      </c>
    </row>
    <row r="24" spans="1:2" x14ac:dyDescent="0.25">
      <c r="A24" s="127" t="s">
        <v>531</v>
      </c>
      <c r="B24" s="128">
        <f>Entry!D31</f>
        <v>0</v>
      </c>
    </row>
    <row r="25" spans="1:2" x14ac:dyDescent="0.25">
      <c r="A25" s="127" t="s">
        <v>176</v>
      </c>
      <c r="B25" s="128">
        <f>Entry!D33</f>
        <v>0</v>
      </c>
    </row>
    <row r="26" spans="1:2" x14ac:dyDescent="0.25">
      <c r="A26" s="127" t="s">
        <v>539</v>
      </c>
      <c r="B26" s="128">
        <f>Entry!D34</f>
        <v>0</v>
      </c>
    </row>
    <row r="27" spans="1:2" x14ac:dyDescent="0.25">
      <c r="A27" s="127" t="s">
        <v>177</v>
      </c>
      <c r="B27" s="128">
        <f>Entry!D35</f>
        <v>0</v>
      </c>
    </row>
    <row r="28" spans="1:2" x14ac:dyDescent="0.25">
      <c r="A28" s="127" t="s">
        <v>298</v>
      </c>
      <c r="B28" s="128">
        <f>Entry!D36</f>
        <v>0</v>
      </c>
    </row>
    <row r="29" spans="1:2" x14ac:dyDescent="0.25">
      <c r="A29" s="127" t="s">
        <v>179</v>
      </c>
      <c r="B29" s="128">
        <f>Entry!D37</f>
        <v>0</v>
      </c>
    </row>
    <row r="30" spans="1:2" x14ac:dyDescent="0.25">
      <c r="A30" s="127" t="s">
        <v>180</v>
      </c>
      <c r="B30" s="128">
        <f>IF(Entry!D38="Available daily for 24 hours",1,0)</f>
        <v>0</v>
      </c>
    </row>
    <row r="31" spans="1:2" x14ac:dyDescent="0.25">
      <c r="A31" s="127" t="s">
        <v>313</v>
      </c>
      <c r="B31" s="128">
        <f>IF(Entry!D38="Available daily but only in certain hours",1,0)</f>
        <v>0</v>
      </c>
    </row>
    <row r="32" spans="1:2" x14ac:dyDescent="0.25">
      <c r="A32" s="127" t="s">
        <v>314</v>
      </c>
      <c r="B32" s="128">
        <f>IF(Entry!D38="Available only on certain days of the week",1,0)</f>
        <v>0</v>
      </c>
    </row>
    <row r="33" spans="1:2" x14ac:dyDescent="0.25">
      <c r="A33" s="127" t="s">
        <v>389</v>
      </c>
      <c r="B33" s="128">
        <f>Entry!D44</f>
        <v>0</v>
      </c>
    </row>
    <row r="34" spans="1:2" x14ac:dyDescent="0.25">
      <c r="A34" s="127" t="s">
        <v>390</v>
      </c>
      <c r="B34" s="128">
        <f>Entry!E44</f>
        <v>0</v>
      </c>
    </row>
    <row r="35" spans="1:2" x14ac:dyDescent="0.25">
      <c r="A35" s="127" t="s">
        <v>391</v>
      </c>
      <c r="B35" s="128">
        <f>Entry!F44</f>
        <v>0</v>
      </c>
    </row>
    <row r="36" spans="1:2" x14ac:dyDescent="0.25">
      <c r="A36" s="127" t="s">
        <v>392</v>
      </c>
      <c r="B36" s="128">
        <f>Entry!D45</f>
        <v>0</v>
      </c>
    </row>
    <row r="37" spans="1:2" x14ac:dyDescent="0.25">
      <c r="A37" s="127" t="s">
        <v>393</v>
      </c>
      <c r="B37" s="128">
        <f>Entry!E45</f>
        <v>0</v>
      </c>
    </row>
    <row r="38" spans="1:2" x14ac:dyDescent="0.25">
      <c r="A38" s="127" t="s">
        <v>394</v>
      </c>
      <c r="B38" s="128">
        <f>Entry!F45</f>
        <v>0</v>
      </c>
    </row>
    <row r="39" spans="1:2" x14ac:dyDescent="0.25">
      <c r="A39" s="127" t="s">
        <v>183</v>
      </c>
      <c r="B39" s="128">
        <f>Entry!D47</f>
        <v>0</v>
      </c>
    </row>
    <row r="40" spans="1:2" x14ac:dyDescent="0.25">
      <c r="A40" s="127" t="s">
        <v>387</v>
      </c>
      <c r="B40" s="128">
        <f>Entry!D48</f>
        <v>0</v>
      </c>
    </row>
    <row r="41" spans="1:2" x14ac:dyDescent="0.25">
      <c r="A41" s="127" t="s">
        <v>388</v>
      </c>
      <c r="B41" s="128">
        <f>Entry!D49</f>
        <v>0</v>
      </c>
    </row>
    <row r="42" spans="1:2" x14ac:dyDescent="0.25">
      <c r="A42" s="127" t="s">
        <v>184</v>
      </c>
      <c r="B42" s="128">
        <f>Entry!D50</f>
        <v>0</v>
      </c>
    </row>
    <row r="43" spans="1:2" x14ac:dyDescent="0.25">
      <c r="A43" s="127" t="s">
        <v>185</v>
      </c>
      <c r="B43" s="128">
        <f>Entry!D51</f>
        <v>0</v>
      </c>
    </row>
    <row r="44" spans="1:2" x14ac:dyDescent="0.25">
      <c r="A44" s="127" t="s">
        <v>186</v>
      </c>
      <c r="B44" s="128">
        <f>Entry!D52</f>
        <v>0</v>
      </c>
    </row>
    <row r="45" spans="1:2" x14ac:dyDescent="0.25">
      <c r="A45" s="127" t="s">
        <v>187</v>
      </c>
      <c r="B45" s="128">
        <f>Entry!D53</f>
        <v>0</v>
      </c>
    </row>
    <row r="46" spans="1:2" x14ac:dyDescent="0.25">
      <c r="A46" s="127" t="s">
        <v>315</v>
      </c>
      <c r="B46" s="128">
        <f>IF(Entry!D54="Daily",1,0)</f>
        <v>0</v>
      </c>
    </row>
    <row r="47" spans="1:2" x14ac:dyDescent="0.25">
      <c r="A47" s="127" t="s">
        <v>316</v>
      </c>
      <c r="B47" s="128">
        <f>IF(Entry!D54="At least twice a week",1,0)</f>
        <v>0</v>
      </c>
    </row>
    <row r="48" spans="1:2" x14ac:dyDescent="0.25">
      <c r="A48" s="127" t="s">
        <v>317</v>
      </c>
      <c r="B48" s="128">
        <f>IF(Entry!D54="Once a week",1,0)</f>
        <v>0</v>
      </c>
    </row>
    <row r="49" spans="1:2" x14ac:dyDescent="0.25">
      <c r="A49" s="127" t="s">
        <v>318</v>
      </c>
      <c r="B49" s="128">
        <f>IF(Entry!D54="Less than once a week",1,0)</f>
        <v>0</v>
      </c>
    </row>
    <row r="50" spans="1:2" x14ac:dyDescent="0.25">
      <c r="A50" s="127" t="s">
        <v>188</v>
      </c>
      <c r="B50" s="128">
        <f>Entry!D55</f>
        <v>0</v>
      </c>
    </row>
    <row r="51" spans="1:2" x14ac:dyDescent="0.25">
      <c r="A51" s="127" t="s">
        <v>189</v>
      </c>
      <c r="B51" s="128">
        <f>Entry!D57</f>
        <v>0</v>
      </c>
    </row>
    <row r="52" spans="1:2" x14ac:dyDescent="0.25">
      <c r="A52" s="127" t="s">
        <v>190</v>
      </c>
      <c r="B52" s="128">
        <f>Entry!D58</f>
        <v>0</v>
      </c>
    </row>
    <row r="53" spans="1:2" x14ac:dyDescent="0.25">
      <c r="A53" s="127" t="s">
        <v>191</v>
      </c>
      <c r="B53" s="128">
        <f>Entry!D59</f>
        <v>0</v>
      </c>
    </row>
    <row r="54" spans="1:2" x14ac:dyDescent="0.25">
      <c r="A54" s="127" t="s">
        <v>192</v>
      </c>
      <c r="B54" s="128">
        <f>Entry!D60</f>
        <v>0</v>
      </c>
    </row>
    <row r="55" spans="1:2" x14ac:dyDescent="0.25">
      <c r="A55" s="127" t="s">
        <v>193</v>
      </c>
      <c r="B55" s="128">
        <f>Entry!D61</f>
        <v>0</v>
      </c>
    </row>
    <row r="56" spans="1:2" x14ac:dyDescent="0.25">
      <c r="A56" s="127" t="s">
        <v>194</v>
      </c>
      <c r="B56" s="128">
        <f>Entry!D62</f>
        <v>0</v>
      </c>
    </row>
    <row r="57" spans="1:2" x14ac:dyDescent="0.25">
      <c r="A57" s="127" t="s">
        <v>195</v>
      </c>
      <c r="B57" s="128">
        <f>Entry!D63</f>
        <v>0</v>
      </c>
    </row>
    <row r="58" spans="1:2" x14ac:dyDescent="0.25">
      <c r="A58" s="127" t="s">
        <v>196</v>
      </c>
      <c r="B58" s="128">
        <f>Entry!D64</f>
        <v>0</v>
      </c>
    </row>
    <row r="59" spans="1:2" x14ac:dyDescent="0.25">
      <c r="A59" s="127" t="s">
        <v>197</v>
      </c>
      <c r="B59" s="128">
        <f>Entry!D65</f>
        <v>0</v>
      </c>
    </row>
    <row r="60" spans="1:2" x14ac:dyDescent="0.25">
      <c r="A60" s="127" t="s">
        <v>198</v>
      </c>
      <c r="B60" s="128">
        <f>Entry!D66</f>
        <v>0</v>
      </c>
    </row>
    <row r="61" spans="1:2" x14ac:dyDescent="0.25">
      <c r="A61" s="127" t="s">
        <v>199</v>
      </c>
      <c r="B61" s="128">
        <f>Entry!D67</f>
        <v>0</v>
      </c>
    </row>
    <row r="62" spans="1:2" x14ac:dyDescent="0.25">
      <c r="A62" s="127" t="s">
        <v>319</v>
      </c>
      <c r="B62" s="128">
        <f>IF(Entry!D68="Daily",1,0)</f>
        <v>0</v>
      </c>
    </row>
    <row r="63" spans="1:2" x14ac:dyDescent="0.25">
      <c r="A63" s="127" t="s">
        <v>320</v>
      </c>
      <c r="B63" s="128">
        <f>IF(Entry!D68="2-3 times a week",1,0)</f>
        <v>0</v>
      </c>
    </row>
    <row r="64" spans="1:2" x14ac:dyDescent="0.25">
      <c r="A64" s="127" t="s">
        <v>321</v>
      </c>
      <c r="B64" s="128">
        <f>IF(Entry!D68="Once a week",1,0)</f>
        <v>0</v>
      </c>
    </row>
    <row r="65" spans="1:2" x14ac:dyDescent="0.25">
      <c r="A65" s="127" t="s">
        <v>322</v>
      </c>
      <c r="B65" s="128">
        <f>IF(Entry!D68="No collection",1,0)</f>
        <v>0</v>
      </c>
    </row>
    <row r="66" spans="1:2" x14ac:dyDescent="0.25">
      <c r="A66" s="127" t="s">
        <v>329</v>
      </c>
      <c r="B66" s="128">
        <f>Entry!D69</f>
        <v>0</v>
      </c>
    </row>
    <row r="67" spans="1:2" x14ac:dyDescent="0.25">
      <c r="A67" s="127" t="s">
        <v>200</v>
      </c>
      <c r="B67" s="128">
        <f>Entry!D70</f>
        <v>0</v>
      </c>
    </row>
    <row r="68" spans="1:2" x14ac:dyDescent="0.25">
      <c r="A68" s="127" t="s">
        <v>201</v>
      </c>
      <c r="B68" s="128">
        <f>Entry!D71</f>
        <v>0</v>
      </c>
    </row>
    <row r="69" spans="1:2" x14ac:dyDescent="0.25">
      <c r="A69" s="127" t="s">
        <v>326</v>
      </c>
      <c r="B69" s="128">
        <f>IF(Entry!D72="All",1,0)</f>
        <v>0</v>
      </c>
    </row>
    <row r="70" spans="1:2" x14ac:dyDescent="0.25">
      <c r="A70" s="127" t="s">
        <v>327</v>
      </c>
      <c r="B70" s="128">
        <f>IF(Entry!D72="Some",1,0)</f>
        <v>0</v>
      </c>
    </row>
    <row r="71" spans="1:2" x14ac:dyDescent="0.25">
      <c r="A71" s="127" t="s">
        <v>328</v>
      </c>
      <c r="B71" s="128">
        <f>IF(Entry!D72="None",1,0)</f>
        <v>0</v>
      </c>
    </row>
    <row r="72" spans="1:2" x14ac:dyDescent="0.25">
      <c r="A72" s="127" t="s">
        <v>497</v>
      </c>
      <c r="B72" s="128">
        <f>Entry!D73</f>
        <v>0</v>
      </c>
    </row>
    <row r="73" spans="1:2" x14ac:dyDescent="0.25">
      <c r="A73" s="127" t="s">
        <v>202</v>
      </c>
      <c r="B73" s="128">
        <f>Entry!D74</f>
        <v>0</v>
      </c>
    </row>
    <row r="74" spans="1:2" x14ac:dyDescent="0.25">
      <c r="A74" s="127" t="s">
        <v>203</v>
      </c>
      <c r="B74" s="128">
        <f>Entry!D76</f>
        <v>0</v>
      </c>
    </row>
    <row r="75" spans="1:2" x14ac:dyDescent="0.25">
      <c r="A75" s="127" t="s">
        <v>204</v>
      </c>
      <c r="B75" s="128">
        <f>Entry!D77</f>
        <v>0</v>
      </c>
    </row>
    <row r="76" spans="1:2" x14ac:dyDescent="0.25">
      <c r="A76" s="127" t="s">
        <v>205</v>
      </c>
      <c r="B76" s="128">
        <f>Entry!D78</f>
        <v>0</v>
      </c>
    </row>
    <row r="77" spans="1:2" x14ac:dyDescent="0.25">
      <c r="A77" s="127" t="s">
        <v>206</v>
      </c>
      <c r="B77" s="128">
        <f>Entry!D79</f>
        <v>0</v>
      </c>
    </row>
    <row r="78" spans="1:2" x14ac:dyDescent="0.25">
      <c r="A78" s="127" t="s">
        <v>532</v>
      </c>
      <c r="B78" s="128">
        <f>Entry!D80</f>
        <v>0</v>
      </c>
    </row>
    <row r="79" spans="1:2" x14ac:dyDescent="0.25">
      <c r="A79" s="127" t="s">
        <v>207</v>
      </c>
      <c r="B79" s="128">
        <f>Entry!D81</f>
        <v>0</v>
      </c>
    </row>
    <row r="80" spans="1:2" x14ac:dyDescent="0.25">
      <c r="A80" s="127" t="s">
        <v>208</v>
      </c>
      <c r="B80" s="128">
        <f>Entry!D82</f>
        <v>0</v>
      </c>
    </row>
    <row r="81" spans="1:2" x14ac:dyDescent="0.25">
      <c r="A81" s="127" t="s">
        <v>209</v>
      </c>
      <c r="B81" s="128">
        <f>Entry!D84</f>
        <v>0</v>
      </c>
    </row>
    <row r="82" spans="1:2" x14ac:dyDescent="0.25">
      <c r="A82" s="127" t="s">
        <v>210</v>
      </c>
      <c r="B82" s="128">
        <f>Entry!D85</f>
        <v>0</v>
      </c>
    </row>
    <row r="83" spans="1:2" x14ac:dyDescent="0.25">
      <c r="A83" s="127" t="s">
        <v>211</v>
      </c>
      <c r="B83" s="128">
        <f>Entry!D86</f>
        <v>0</v>
      </c>
    </row>
    <row r="84" spans="1:2" x14ac:dyDescent="0.25">
      <c r="A84" s="127" t="s">
        <v>323</v>
      </c>
      <c r="B84" s="128">
        <f>IF(Entry!D87="All",1,0)</f>
        <v>0</v>
      </c>
    </row>
    <row r="85" spans="1:2" x14ac:dyDescent="0.25">
      <c r="A85" s="127" t="s">
        <v>324</v>
      </c>
      <c r="B85" s="128">
        <f>IF(Entry!D87="Some",1,0)</f>
        <v>0</v>
      </c>
    </row>
    <row r="86" spans="1:2" x14ac:dyDescent="0.25">
      <c r="A86" s="127" t="s">
        <v>325</v>
      </c>
      <c r="B86" s="128">
        <f>IF(Entry!D87="None",1,0)</f>
        <v>0</v>
      </c>
    </row>
    <row r="87" spans="1:2" x14ac:dyDescent="0.25">
      <c r="A87" s="127" t="s">
        <v>498</v>
      </c>
      <c r="B87" s="128">
        <f>IF(Entry!D88="All",1,0)</f>
        <v>0</v>
      </c>
    </row>
    <row r="88" spans="1:2" x14ac:dyDescent="0.25">
      <c r="A88" s="127" t="s">
        <v>499</v>
      </c>
      <c r="B88" s="128">
        <f>IF(Entry!D88="Some",1,0)</f>
        <v>0</v>
      </c>
    </row>
    <row r="89" spans="1:2" x14ac:dyDescent="0.25">
      <c r="A89" s="127" t="s">
        <v>500</v>
      </c>
      <c r="B89" s="128">
        <f>IF(Entry!D88="None",1,0)</f>
        <v>0</v>
      </c>
    </row>
    <row r="90" spans="1:2" x14ac:dyDescent="0.25">
      <c r="A90" s="127" t="s">
        <v>212</v>
      </c>
      <c r="B90" s="128">
        <f>Entry!D93</f>
        <v>0</v>
      </c>
    </row>
    <row r="91" spans="1:2" x14ac:dyDescent="0.25">
      <c r="A91" s="127" t="s">
        <v>301</v>
      </c>
      <c r="B91" s="128">
        <f>Entry!D95</f>
        <v>0</v>
      </c>
    </row>
    <row r="92" spans="1:2" x14ac:dyDescent="0.25">
      <c r="A92" s="127" t="s">
        <v>302</v>
      </c>
      <c r="B92" s="128">
        <f>Entry!D96</f>
        <v>0</v>
      </c>
    </row>
    <row r="93" spans="1:2" x14ac:dyDescent="0.25">
      <c r="A93" s="127" t="s">
        <v>303</v>
      </c>
      <c r="B93" s="128">
        <f>Entry!D97</f>
        <v>0</v>
      </c>
    </row>
    <row r="94" spans="1:2" x14ac:dyDescent="0.25">
      <c r="A94" s="127" t="s">
        <v>533</v>
      </c>
      <c r="B94" s="128">
        <f>Entry!E99</f>
        <v>0</v>
      </c>
    </row>
    <row r="95" spans="1:2" x14ac:dyDescent="0.25">
      <c r="A95" s="127" t="s">
        <v>213</v>
      </c>
      <c r="B95" s="128">
        <f>Entry!D100</f>
        <v>0</v>
      </c>
    </row>
    <row r="96" spans="1:2" x14ac:dyDescent="0.25">
      <c r="A96" s="127" t="s">
        <v>304</v>
      </c>
      <c r="B96" s="128">
        <f>Entry!E100</f>
        <v>0</v>
      </c>
    </row>
    <row r="97" spans="1:2" x14ac:dyDescent="0.25">
      <c r="A97" s="127" t="s">
        <v>214</v>
      </c>
      <c r="B97" s="128">
        <f>Entry!D102</f>
        <v>0</v>
      </c>
    </row>
    <row r="98" spans="1:2" x14ac:dyDescent="0.25">
      <c r="A98" s="127" t="s">
        <v>215</v>
      </c>
      <c r="B98" s="128">
        <f>Entry!D104</f>
        <v>0</v>
      </c>
    </row>
    <row r="99" spans="1:2" x14ac:dyDescent="0.25">
      <c r="A99" s="127" t="s">
        <v>216</v>
      </c>
      <c r="B99" s="128">
        <f>Entry!D105</f>
        <v>0</v>
      </c>
    </row>
    <row r="100" spans="1:2" x14ac:dyDescent="0.25">
      <c r="A100" s="127" t="s">
        <v>217</v>
      </c>
      <c r="B100" s="128">
        <f>Entry!D106</f>
        <v>0</v>
      </c>
    </row>
    <row r="101" spans="1:2" x14ac:dyDescent="0.25">
      <c r="A101" s="127" t="s">
        <v>218</v>
      </c>
      <c r="B101" s="128">
        <f>Entry!D107</f>
        <v>0</v>
      </c>
    </row>
    <row r="102" spans="1:2" x14ac:dyDescent="0.25">
      <c r="A102" s="127" t="s">
        <v>219</v>
      </c>
      <c r="B102" s="128">
        <f>Entry!D108</f>
        <v>0</v>
      </c>
    </row>
    <row r="103" spans="1:2" x14ac:dyDescent="0.25">
      <c r="A103" s="127" t="s">
        <v>220</v>
      </c>
      <c r="B103" s="128">
        <f>Entry!D109</f>
        <v>0</v>
      </c>
    </row>
    <row r="104" spans="1:2" x14ac:dyDescent="0.25">
      <c r="A104" s="127" t="s">
        <v>221</v>
      </c>
      <c r="B104" s="128">
        <f>Entry!D110</f>
        <v>0</v>
      </c>
    </row>
    <row r="105" spans="1:2" x14ac:dyDescent="0.25">
      <c r="A105" s="127" t="s">
        <v>222</v>
      </c>
      <c r="B105" s="128">
        <f>Entry!D112</f>
        <v>0</v>
      </c>
    </row>
    <row r="106" spans="1:2" x14ac:dyDescent="0.25">
      <c r="A106" s="127" t="s">
        <v>223</v>
      </c>
      <c r="B106" s="128">
        <f>Entry!D113</f>
        <v>0</v>
      </c>
    </row>
    <row r="107" spans="1:2" x14ac:dyDescent="0.25">
      <c r="A107" s="127" t="s">
        <v>225</v>
      </c>
      <c r="B107" s="128">
        <f>Entry!D114</f>
        <v>0</v>
      </c>
    </row>
    <row r="108" spans="1:2" x14ac:dyDescent="0.25">
      <c r="A108" s="127" t="s">
        <v>264</v>
      </c>
      <c r="B108" s="128">
        <f>Entry!D115</f>
        <v>0</v>
      </c>
    </row>
    <row r="109" spans="1:2" x14ac:dyDescent="0.25">
      <c r="A109" s="127" t="s">
        <v>224</v>
      </c>
      <c r="B109" s="128">
        <f>Entry!D116</f>
        <v>0</v>
      </c>
    </row>
    <row r="110" spans="1:2" x14ac:dyDescent="0.25">
      <c r="A110" s="127" t="s">
        <v>226</v>
      </c>
      <c r="B110" s="128">
        <f>Entry!D117</f>
        <v>0</v>
      </c>
    </row>
    <row r="111" spans="1:2" x14ac:dyDescent="0.25">
      <c r="A111" s="127" t="s">
        <v>305</v>
      </c>
      <c r="B111" s="128">
        <f>Entry!D119</f>
        <v>0</v>
      </c>
    </row>
    <row r="112" spans="1:2" x14ac:dyDescent="0.25">
      <c r="A112" s="127" t="s">
        <v>306</v>
      </c>
      <c r="B112" s="128">
        <f>Entry!D120</f>
        <v>0</v>
      </c>
    </row>
    <row r="113" spans="1:2" x14ac:dyDescent="0.25">
      <c r="A113" s="127" t="s">
        <v>307</v>
      </c>
      <c r="B113" s="128">
        <f>Entry!D121</f>
        <v>0</v>
      </c>
    </row>
    <row r="114" spans="1:2" x14ac:dyDescent="0.25">
      <c r="A114" s="127" t="s">
        <v>227</v>
      </c>
      <c r="B114" s="128">
        <f>Entry!D122</f>
        <v>0</v>
      </c>
    </row>
    <row r="115" spans="1:2" x14ac:dyDescent="0.25">
      <c r="A115" s="127" t="s">
        <v>228</v>
      </c>
      <c r="B115" s="128">
        <f>Entry!D124</f>
        <v>0</v>
      </c>
    </row>
    <row r="116" spans="1:2" x14ac:dyDescent="0.25">
      <c r="A116" s="127" t="s">
        <v>229</v>
      </c>
      <c r="B116" s="128">
        <f>Entry!D125</f>
        <v>0</v>
      </c>
    </row>
    <row r="117" spans="1:2" x14ac:dyDescent="0.25">
      <c r="A117" s="127" t="s">
        <v>230</v>
      </c>
      <c r="B117" s="128">
        <f>Entry!D128</f>
        <v>0</v>
      </c>
    </row>
    <row r="118" spans="1:2" x14ac:dyDescent="0.25">
      <c r="A118" s="127" t="s">
        <v>231</v>
      </c>
      <c r="B118" s="128">
        <f>Entry!D129</f>
        <v>0</v>
      </c>
    </row>
    <row r="119" spans="1:2" x14ac:dyDescent="0.25">
      <c r="A119" s="127" t="s">
        <v>232</v>
      </c>
      <c r="B119" s="128">
        <f>Entry!D130</f>
        <v>0</v>
      </c>
    </row>
    <row r="120" spans="1:2" x14ac:dyDescent="0.25">
      <c r="A120" s="127" t="s">
        <v>233</v>
      </c>
      <c r="B120" s="128">
        <f>Entry!D131</f>
        <v>0</v>
      </c>
    </row>
    <row r="121" spans="1:2" x14ac:dyDescent="0.25">
      <c r="A121" s="127" t="s">
        <v>234</v>
      </c>
      <c r="B121" s="128">
        <f>Entry!D132</f>
        <v>0</v>
      </c>
    </row>
    <row r="122" spans="1:2" x14ac:dyDescent="0.25">
      <c r="A122" s="127" t="s">
        <v>235</v>
      </c>
      <c r="B122" s="128">
        <f>Entry!E128</f>
        <v>0</v>
      </c>
    </row>
    <row r="123" spans="1:2" x14ac:dyDescent="0.25">
      <c r="A123" s="127" t="s">
        <v>236</v>
      </c>
      <c r="B123" s="128">
        <f>Entry!E129</f>
        <v>0</v>
      </c>
    </row>
    <row r="124" spans="1:2" x14ac:dyDescent="0.25">
      <c r="A124" s="127" t="s">
        <v>237</v>
      </c>
      <c r="B124" s="128">
        <f>Entry!E130</f>
        <v>0</v>
      </c>
    </row>
    <row r="125" spans="1:2" x14ac:dyDescent="0.25">
      <c r="A125" s="127" t="s">
        <v>238</v>
      </c>
      <c r="B125" s="128">
        <f>Entry!E131</f>
        <v>0</v>
      </c>
    </row>
    <row r="126" spans="1:2" x14ac:dyDescent="0.25">
      <c r="A126" s="127" t="s">
        <v>239</v>
      </c>
      <c r="B126" s="128">
        <f>Entry!E132</f>
        <v>0</v>
      </c>
    </row>
    <row r="127" spans="1:2" x14ac:dyDescent="0.25">
      <c r="A127" s="127" t="s">
        <v>240</v>
      </c>
      <c r="B127" s="128">
        <f>Entry!F128</f>
        <v>0</v>
      </c>
    </row>
    <row r="128" spans="1:2" x14ac:dyDescent="0.25">
      <c r="A128" s="127" t="s">
        <v>241</v>
      </c>
      <c r="B128" s="128">
        <f>Entry!F129</f>
        <v>0</v>
      </c>
    </row>
    <row r="129" spans="1:2" x14ac:dyDescent="0.25">
      <c r="A129" s="127" t="s">
        <v>242</v>
      </c>
      <c r="B129" s="128">
        <f>Entry!F130</f>
        <v>0</v>
      </c>
    </row>
    <row r="130" spans="1:2" x14ac:dyDescent="0.25">
      <c r="A130" s="127" t="s">
        <v>243</v>
      </c>
      <c r="B130" s="128">
        <f>Entry!F131</f>
        <v>0</v>
      </c>
    </row>
    <row r="131" spans="1:2" x14ac:dyDescent="0.25">
      <c r="A131" s="127" t="s">
        <v>244</v>
      </c>
      <c r="B131" s="128">
        <f>Entry!F132</f>
        <v>0</v>
      </c>
    </row>
    <row r="132" spans="1:2" x14ac:dyDescent="0.25">
      <c r="A132" s="127" t="s">
        <v>245</v>
      </c>
      <c r="B132" s="128">
        <f>Entry!G128</f>
        <v>0</v>
      </c>
    </row>
    <row r="133" spans="1:2" x14ac:dyDescent="0.25">
      <c r="A133" s="127" t="s">
        <v>246</v>
      </c>
      <c r="B133" s="128">
        <f>Entry!G129</f>
        <v>0</v>
      </c>
    </row>
    <row r="134" spans="1:2" x14ac:dyDescent="0.25">
      <c r="A134" s="127" t="s">
        <v>247</v>
      </c>
      <c r="B134" s="128">
        <f>Entry!G130</f>
        <v>0</v>
      </c>
    </row>
    <row r="135" spans="1:2" x14ac:dyDescent="0.25">
      <c r="A135" s="127" t="s">
        <v>248</v>
      </c>
      <c r="B135" s="128">
        <f>Entry!G131</f>
        <v>0</v>
      </c>
    </row>
    <row r="136" spans="1:2" x14ac:dyDescent="0.25">
      <c r="A136" s="127" t="s">
        <v>249</v>
      </c>
      <c r="B136" s="128">
        <f>Entry!G132</f>
        <v>0</v>
      </c>
    </row>
    <row r="137" spans="1:2" x14ac:dyDescent="0.25">
      <c r="A137" s="127" t="s">
        <v>534</v>
      </c>
      <c r="B137" s="128">
        <f>Entry!H128</f>
        <v>0</v>
      </c>
    </row>
    <row r="138" spans="1:2" x14ac:dyDescent="0.25">
      <c r="A138" s="127" t="s">
        <v>535</v>
      </c>
      <c r="B138" s="128">
        <f>Entry!H129</f>
        <v>0</v>
      </c>
    </row>
    <row r="139" spans="1:2" x14ac:dyDescent="0.25">
      <c r="A139" s="127" t="s">
        <v>536</v>
      </c>
      <c r="B139" s="128">
        <f>Entry!H130</f>
        <v>0</v>
      </c>
    </row>
    <row r="140" spans="1:2" x14ac:dyDescent="0.25">
      <c r="A140" s="127" t="s">
        <v>537</v>
      </c>
      <c r="B140" s="128">
        <f>Entry!H131</f>
        <v>0</v>
      </c>
    </row>
    <row r="141" spans="1:2" x14ac:dyDescent="0.25">
      <c r="A141" s="127" t="s">
        <v>538</v>
      </c>
      <c r="B141" s="128">
        <f>Entry!H132</f>
        <v>0</v>
      </c>
    </row>
    <row r="142" spans="1:2" x14ac:dyDescent="0.25">
      <c r="A142" s="127" t="s">
        <v>250</v>
      </c>
      <c r="B142" s="128">
        <f>Entry!I128</f>
        <v>0</v>
      </c>
    </row>
    <row r="143" spans="1:2" x14ac:dyDescent="0.25">
      <c r="A143" s="127" t="s">
        <v>251</v>
      </c>
      <c r="B143" s="128">
        <f>Entry!I129</f>
        <v>0</v>
      </c>
    </row>
    <row r="144" spans="1:2" x14ac:dyDescent="0.25">
      <c r="A144" s="127" t="s">
        <v>252</v>
      </c>
      <c r="B144" s="128">
        <f>Entry!I130</f>
        <v>0</v>
      </c>
    </row>
    <row r="145" spans="1:2" x14ac:dyDescent="0.25">
      <c r="A145" s="127" t="s">
        <v>253</v>
      </c>
      <c r="B145" s="128">
        <f>Entry!I131</f>
        <v>0</v>
      </c>
    </row>
    <row r="146" spans="1:2" x14ac:dyDescent="0.25">
      <c r="A146" s="127" t="s">
        <v>254</v>
      </c>
      <c r="B146" s="128">
        <f>Entry!D135</f>
        <v>0</v>
      </c>
    </row>
    <row r="147" spans="1:2" x14ac:dyDescent="0.25">
      <c r="A147" s="127" t="s">
        <v>255</v>
      </c>
      <c r="B147" s="128">
        <f>Entry!D136</f>
        <v>0</v>
      </c>
    </row>
    <row r="148" spans="1:2" x14ac:dyDescent="0.25">
      <c r="A148" s="127" t="s">
        <v>256</v>
      </c>
      <c r="B148" s="128">
        <f>Entry!D137</f>
        <v>0</v>
      </c>
    </row>
    <row r="149" spans="1:2" x14ac:dyDescent="0.25">
      <c r="A149" s="127" t="s">
        <v>308</v>
      </c>
      <c r="B149" s="128">
        <f>Entry!D138</f>
        <v>0</v>
      </c>
    </row>
    <row r="150" spans="1:2" x14ac:dyDescent="0.25">
      <c r="A150" s="127" t="s">
        <v>257</v>
      </c>
      <c r="B150" s="128">
        <f>Entry!D139</f>
        <v>0</v>
      </c>
    </row>
    <row r="151" spans="1:2" x14ac:dyDescent="0.25">
      <c r="A151" s="127" t="s">
        <v>258</v>
      </c>
      <c r="B151" s="128">
        <f>Entry!D140</f>
        <v>0</v>
      </c>
    </row>
    <row r="152" spans="1:2" x14ac:dyDescent="0.25">
      <c r="A152" s="127" t="s">
        <v>259</v>
      </c>
      <c r="B152" s="128">
        <f>Entry!D141</f>
        <v>0</v>
      </c>
    </row>
    <row r="153" spans="1:2" x14ac:dyDescent="0.25">
      <c r="A153" s="127" t="s">
        <v>260</v>
      </c>
      <c r="B153" s="128">
        <f>Entry!D142</f>
        <v>0</v>
      </c>
    </row>
    <row r="154" spans="1:2" x14ac:dyDescent="0.25">
      <c r="A154" s="127" t="s">
        <v>261</v>
      </c>
      <c r="B154" s="128">
        <f>Entry!D143</f>
        <v>0</v>
      </c>
    </row>
    <row r="155" spans="1:2" x14ac:dyDescent="0.25">
      <c r="A155" s="127" t="s">
        <v>262</v>
      </c>
      <c r="B155" s="128">
        <f>Entry!D148</f>
        <v>0</v>
      </c>
    </row>
    <row r="156" spans="1:2" x14ac:dyDescent="0.25">
      <c r="A156" s="127" t="s">
        <v>263</v>
      </c>
      <c r="B156" s="128">
        <f>Entry!D149</f>
        <v>0</v>
      </c>
    </row>
    <row r="157" spans="1:2" x14ac:dyDescent="0.25">
      <c r="A157" s="127" t="s">
        <v>271</v>
      </c>
      <c r="B157" s="128">
        <f>Entry!D155</f>
        <v>0</v>
      </c>
    </row>
    <row r="158" spans="1:2" x14ac:dyDescent="0.25">
      <c r="A158" s="127" t="s">
        <v>272</v>
      </c>
      <c r="B158" s="128">
        <f>Entry!D156</f>
        <v>0</v>
      </c>
    </row>
    <row r="159" spans="1:2" x14ac:dyDescent="0.25">
      <c r="A159" s="127" t="s">
        <v>273</v>
      </c>
      <c r="B159" s="128">
        <f>Entry!D157</f>
        <v>0</v>
      </c>
    </row>
    <row r="160" spans="1:2" x14ac:dyDescent="0.25">
      <c r="A160" s="127" t="s">
        <v>274</v>
      </c>
      <c r="B160" s="128">
        <f>Entry!D158</f>
        <v>0</v>
      </c>
    </row>
    <row r="161" spans="1:2" x14ac:dyDescent="0.25">
      <c r="A161" s="127" t="s">
        <v>275</v>
      </c>
      <c r="B161" s="128">
        <f>Entry!D159</f>
        <v>0</v>
      </c>
    </row>
    <row r="162" spans="1:2" x14ac:dyDescent="0.25">
      <c r="A162" s="127" t="s">
        <v>276</v>
      </c>
      <c r="B162" s="128">
        <f>Entry!E155</f>
        <v>0</v>
      </c>
    </row>
    <row r="163" spans="1:2" x14ac:dyDescent="0.25">
      <c r="A163" s="127" t="s">
        <v>277</v>
      </c>
      <c r="B163" s="128">
        <f>Entry!E156</f>
        <v>0</v>
      </c>
    </row>
    <row r="164" spans="1:2" x14ac:dyDescent="0.25">
      <c r="A164" s="127" t="s">
        <v>278</v>
      </c>
      <c r="B164" s="128">
        <f>Entry!E157</f>
        <v>0</v>
      </c>
    </row>
    <row r="165" spans="1:2" x14ac:dyDescent="0.25">
      <c r="A165" s="127" t="s">
        <v>279</v>
      </c>
      <c r="B165" s="128">
        <f>Entry!E158</f>
        <v>0</v>
      </c>
    </row>
    <row r="166" spans="1:2" x14ac:dyDescent="0.25">
      <c r="A166" s="127" t="s">
        <v>280</v>
      </c>
      <c r="B166" s="128">
        <f>Entry!E159</f>
        <v>0</v>
      </c>
    </row>
    <row r="167" spans="1:2" x14ac:dyDescent="0.25">
      <c r="A167" s="127" t="s">
        <v>281</v>
      </c>
      <c r="B167" s="128">
        <f>Entry!F155</f>
        <v>0</v>
      </c>
    </row>
    <row r="168" spans="1:2" x14ac:dyDescent="0.25">
      <c r="A168" s="127" t="s">
        <v>282</v>
      </c>
      <c r="B168" s="128">
        <f>Entry!F156</f>
        <v>0</v>
      </c>
    </row>
    <row r="169" spans="1:2" x14ac:dyDescent="0.25">
      <c r="A169" s="127" t="s">
        <v>283</v>
      </c>
      <c r="B169" s="128">
        <f>Entry!F157</f>
        <v>0</v>
      </c>
    </row>
    <row r="170" spans="1:2" x14ac:dyDescent="0.25">
      <c r="A170" s="127" t="s">
        <v>284</v>
      </c>
      <c r="B170" s="128">
        <f>Entry!F158</f>
        <v>0</v>
      </c>
    </row>
    <row r="171" spans="1:2" x14ac:dyDescent="0.25">
      <c r="A171" s="127" t="s">
        <v>285</v>
      </c>
      <c r="B171" s="128">
        <f>Entry!F159</f>
        <v>0</v>
      </c>
    </row>
    <row r="172" spans="1:2" x14ac:dyDescent="0.25">
      <c r="A172" s="127" t="s">
        <v>286</v>
      </c>
      <c r="B172" s="128">
        <f>Entry!G155</f>
        <v>0</v>
      </c>
    </row>
    <row r="173" spans="1:2" x14ac:dyDescent="0.25">
      <c r="A173" s="127" t="s">
        <v>287</v>
      </c>
      <c r="B173" s="128">
        <f>Entry!G156</f>
        <v>0</v>
      </c>
    </row>
    <row r="174" spans="1:2" x14ac:dyDescent="0.25">
      <c r="A174" s="127" t="s">
        <v>288</v>
      </c>
      <c r="B174" s="128">
        <f>Entry!G157</f>
        <v>0</v>
      </c>
    </row>
    <row r="175" spans="1:2" x14ac:dyDescent="0.25">
      <c r="A175" s="127" t="s">
        <v>289</v>
      </c>
      <c r="B175" s="128">
        <f>Entry!G158</f>
        <v>0</v>
      </c>
    </row>
    <row r="176" spans="1:2" x14ac:dyDescent="0.25">
      <c r="A176" s="127" t="s">
        <v>290</v>
      </c>
      <c r="B176" s="128">
        <f>Entry!G159</f>
        <v>0</v>
      </c>
    </row>
    <row r="177" spans="1:2" x14ac:dyDescent="0.25">
      <c r="A177" s="127" t="s">
        <v>265</v>
      </c>
      <c r="B177" s="128">
        <f>Entry!D161</f>
        <v>0</v>
      </c>
    </row>
    <row r="178" spans="1:2" x14ac:dyDescent="0.25">
      <c r="A178" s="127" t="s">
        <v>266</v>
      </c>
      <c r="B178" s="128">
        <f>Entry!D162</f>
        <v>0</v>
      </c>
    </row>
    <row r="179" spans="1:2" x14ac:dyDescent="0.25">
      <c r="A179" s="127" t="s">
        <v>267</v>
      </c>
      <c r="B179" s="128">
        <f>Entry!D163</f>
        <v>0</v>
      </c>
    </row>
    <row r="180" spans="1:2" x14ac:dyDescent="0.25">
      <c r="A180" s="127" t="s">
        <v>268</v>
      </c>
      <c r="B180" s="128">
        <f>Entry!D164</f>
        <v>0</v>
      </c>
    </row>
    <row r="181" spans="1:2" x14ac:dyDescent="0.25">
      <c r="A181" s="127" t="s">
        <v>269</v>
      </c>
      <c r="B181" s="128">
        <f>Entry!D165</f>
        <v>0</v>
      </c>
    </row>
    <row r="182" spans="1:2" x14ac:dyDescent="0.25">
      <c r="A182" s="127" t="s">
        <v>270</v>
      </c>
      <c r="B182" s="128">
        <f>Entry!D166</f>
        <v>0</v>
      </c>
    </row>
  </sheetData>
  <dataValidations disablePrompts="1" count="1">
    <dataValidation type="list" allowBlank="1" showInputMessage="1" showErrorMessage="1" sqref="D2:E6 D7:E1048576">
      <formula1>"Y,N"</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9"/>
  <sheetViews>
    <sheetView showGridLines="0" zoomScaleNormal="100" workbookViewId="0"/>
  </sheetViews>
  <sheetFormatPr defaultRowHeight="15" x14ac:dyDescent="0.25"/>
  <cols>
    <col min="1" max="1" width="2.5703125" style="2" customWidth="1"/>
    <col min="2" max="2" width="12.7109375" style="2" customWidth="1"/>
    <col min="3" max="6" width="16.28515625" style="2" customWidth="1"/>
    <col min="7" max="7" width="2.42578125" style="2" customWidth="1"/>
    <col min="8" max="8" width="14" style="2" bestFit="1" customWidth="1"/>
    <col min="9" max="16384" width="9.140625" style="2"/>
  </cols>
  <sheetData>
    <row r="1" spans="2:9" x14ac:dyDescent="0.25">
      <c r="B1" s="17" t="s">
        <v>375</v>
      </c>
      <c r="C1" s="108"/>
      <c r="D1" s="108"/>
      <c r="E1" s="108"/>
      <c r="F1" s="108"/>
    </row>
    <row r="2" spans="2:9" x14ac:dyDescent="0.25">
      <c r="B2" s="33" t="str">
        <f>Entry!D11 &amp; IF(Entry!D13&lt;&gt;"", ", "  &amp; Entry!D13, "") &amp; ", " &amp; Entry!D14</f>
        <v xml:space="preserve">, </v>
      </c>
      <c r="C2" s="108"/>
      <c r="D2" s="108"/>
      <c r="E2" s="108"/>
      <c r="F2" s="108"/>
      <c r="H2" s="115" t="s">
        <v>384</v>
      </c>
      <c r="I2" s="120" t="s">
        <v>10</v>
      </c>
    </row>
    <row r="3" spans="2:9" x14ac:dyDescent="0.25">
      <c r="B3" s="34"/>
    </row>
    <row r="4" spans="2:9" ht="45" customHeight="1" x14ac:dyDescent="0.25">
      <c r="B4" s="111" t="s">
        <v>330</v>
      </c>
      <c r="C4" s="109" t="str">
        <f>"Safe Drinking Water" &amp; CHAR(10) &amp; " " &amp; IF(Charts!P90&gt;0,REPT("★",Charts!P90),"0 Star") &amp; " "</f>
        <v xml:space="preserve">Safe Drinking Water
 0 Star </v>
      </c>
      <c r="D4" s="123" t="str">
        <f>"Water Testing" &amp; CHAR(10) &amp; CHAR(10) &amp; " " &amp; IF(Charts!P91&gt;0,REPT("★",Charts!P91),"0 Star") &amp; " "</f>
        <v xml:space="preserve">Water Testing
 0 Star </v>
      </c>
      <c r="E4" s="123" t="str">
        <f>"Water for" &amp; CHAR(10) &amp; "Cleaning" &amp; CHAR(10) &amp; " " &amp; IF(Charts!P92&gt;0,REPT("★",Charts!P92),"0 Star") &amp; " "</f>
        <v xml:space="preserve">Water for
Cleaning
 0 Star </v>
      </c>
    </row>
    <row r="5" spans="2:9" ht="45" customHeight="1" x14ac:dyDescent="0.25">
      <c r="B5" s="146" t="s">
        <v>81</v>
      </c>
      <c r="C5" s="109" t="str">
        <f>"Segregated Toilets" &amp; CHAR(10) &amp; " " &amp; IF(Charts!P96&gt;0,REPT("★",Charts!P96),"0 Star") &amp; " "</f>
        <v xml:space="preserve">Segregated Toilets
 0 Star </v>
      </c>
      <c r="D5" s="109" t="str">
        <f>"Security of" &amp; CHAR(10) &amp; "Toilets" &amp; CHAR(10) &amp; " " &amp; IF(Charts!P97&gt;0,REPT("★",Charts!P97),"0 Star") &amp; " "</f>
        <v xml:space="preserve">Security of
Toilets
 0 Star </v>
      </c>
      <c r="E5" s="109" t="str">
        <f>"Wash Facility for Toilets" &amp; CHAR(10) &amp; " " &amp; IF(Charts!P98&gt;0,REPT("★",Charts!P98),"0 Star") &amp; " "</f>
        <v xml:space="preserve">Wash Facility for Toilets
 ★ </v>
      </c>
      <c r="F5" s="109" t="str">
        <f>"Wash Facility for MHM" &amp; CHAR(10) &amp; " " &amp; IF(Charts!P99&gt;0,REPT("★",Charts!P99),"0 Star") &amp; " "</f>
        <v xml:space="preserve">Wash Facility for MHM
 ★ </v>
      </c>
    </row>
    <row r="6" spans="2:9" ht="45" customHeight="1" x14ac:dyDescent="0.25">
      <c r="B6" s="147"/>
      <c r="C6" s="109" t="str">
        <f>"Safety of Detached Toilets" &amp; CHAR(10) &amp; " " &amp; IF(Charts!P100&gt;0,REPT("★",Charts!P100),"0 Star") &amp; " "</f>
        <v xml:space="preserve">Safety of Detached Toilets
 ★ </v>
      </c>
      <c r="D6" s="109" t="str">
        <f>"Toilets for " &amp; CHAR(10) &amp; "Disabled" &amp; CHAR(10) &amp; " " &amp; IF(Charts!P101&gt;0,REPT("★",Charts!P101),"0 Star") &amp; " "</f>
        <v xml:space="preserve">Toilets for 
Disabled
 ★★ </v>
      </c>
      <c r="E6" s="109" t="str">
        <f>"Daily Cleaning of Toilets" &amp; CHAR(10) &amp; " " &amp; IF(Charts!P102&gt;0,REPT("★",Charts!P102),"0 Star") &amp; " "</f>
        <v xml:space="preserve">Daily Cleaning of Toilets
 0 Star </v>
      </c>
      <c r="F6" s="109" t="str">
        <f>"Funding for " &amp; CHAR(10) &amp; "Repairs" &amp; CHAR(10) &amp; " " &amp; IF(Charts!P103&gt;0,REPT("★",Charts!P103),"0 Star") &amp; " "</f>
        <v xml:space="preserve">Funding for 
Repairs
 0 Star </v>
      </c>
    </row>
    <row r="7" spans="2:9" ht="45" customHeight="1" x14ac:dyDescent="0.25">
      <c r="B7" s="147"/>
      <c r="C7" s="109" t="str">
        <f>"Burning of Waste" &amp; CHAR(10) &amp; CHAR(10) &amp; " " &amp; IF(Charts!P104&gt;0,REPT("★",Charts!P104),"0 Star") &amp; " "</f>
        <v xml:space="preserve">Burning of Waste
 0 Star </v>
      </c>
      <c r="D7" s="109" t="str">
        <f>"Segregated Trash Bins" &amp; CHAR(10) &amp; " " &amp; IF(Charts!P105&gt;0,REPT("★",Charts!P105),"0 Star") &amp; " "</f>
        <v xml:space="preserve">Segregated Trash Bins
 0 Star </v>
      </c>
      <c r="E7" s="109" t="str">
        <f>"Waste " &amp; CHAR(10) &amp; "Segregation" &amp; CHAR(10) &amp; " " &amp; IF(Charts!P106&gt;0,REPT("★",Charts!P106),"0 Star") &amp; " "</f>
        <v xml:space="preserve">Waste 
Segregation
 0 Star </v>
      </c>
      <c r="F7" s="109" t="str">
        <f>"Garbage " &amp; CHAR(10) &amp; "Collection" &amp; CHAR(10) &amp; " " &amp; IF(Charts!P107&gt;0,REPT("★",Charts!P107),"0 Star") &amp; " "</f>
        <v xml:space="preserve">Garbage 
Collection
 0 Star </v>
      </c>
    </row>
    <row r="8" spans="2:9" ht="30" x14ac:dyDescent="0.25">
      <c r="B8" s="147"/>
      <c r="C8" s="109" t="str">
        <f>"Septic Tank" &amp; CHAR(10) &amp; " " &amp; IF(Charts!P108&gt;0,REPT("★",Charts!P108),"0 Star") &amp; " "</f>
        <v xml:space="preserve">Septic Tank
 0 Star </v>
      </c>
      <c r="D8" s="109" t="str">
        <f>"Drainage" &amp; CHAR(10) &amp; " " &amp; IF(Charts!P109&gt;0,REPT("★",Charts!P109),"0 Star") &amp; " "</f>
        <v xml:space="preserve">Drainage
 0 Star </v>
      </c>
      <c r="E8" s="109" t="str">
        <f>"System for Flood" &amp; CHAR(10) &amp; " " &amp; IF(Charts!P110&gt;0,REPT("★",Charts!P110),"0 Star") &amp; " "</f>
        <v xml:space="preserve">System for Flood
 ★★ </v>
      </c>
      <c r="F8" s="109" t="str">
        <f>"Food Handlers" &amp; CHAR(10) &amp; " " &amp; IF(Charts!P111&gt;0,REPT("★",Charts!P111),"0 Star") &amp; " "</f>
        <v xml:space="preserve">Food Handlers
 0 Star </v>
      </c>
    </row>
    <row r="9" spans="2:9" ht="45" x14ac:dyDescent="0.25">
      <c r="B9" s="146" t="s">
        <v>82</v>
      </c>
      <c r="C9" s="109" t="str">
        <f>"Group Hand-washing Activity" &amp; CHAR(10) &amp; " " &amp; IF(Charts!P114&gt;0,REPT("★",Charts!P114),"0 Star") &amp; " "</f>
        <v xml:space="preserve">Group Hand-washing Activity
 ★★★★★ </v>
      </c>
      <c r="D9" s="109" t="str">
        <f>"Available Soap" &amp; CHAR(10) &amp; CHAR(10) &amp; " " &amp; IF(Charts!P115&gt;0,REPT("★",Charts!P115),"0 Star") &amp; " "</f>
        <v xml:space="preserve">Available Soap
 0 Star </v>
      </c>
      <c r="E9" s="109" t="str">
        <f>"Group Hand-washing Facility" &amp; CHAR(10) &amp; " " &amp; IF(Charts!P116&gt;0,REPT("★",Charts!P116),"0 Star") &amp; " "</f>
        <v xml:space="preserve">Group Hand-washing Facility
 ★★★★★ </v>
      </c>
      <c r="F9" s="109" t="str">
        <f>"Individual Hand-washing Facility" &amp; CHAR(10) &amp; " " &amp; IF(Charts!P117&gt;0,REPT("★",Charts!P117),"0 Star") &amp; " "</f>
        <v xml:space="preserve">Individual Hand-washing Facility
 ★★ </v>
      </c>
    </row>
    <row r="10" spans="2:9" ht="45" x14ac:dyDescent="0.25">
      <c r="B10" s="147"/>
      <c r="C10" s="109" t="str">
        <f>"Individual Hand-washing Practice" &amp; CHAR(10) &amp; " " &amp; IF(Charts!P118&gt;0,REPT("★",Charts!P118),"0 Star") &amp; " "</f>
        <v xml:space="preserve">Individual Hand-washing Practice
 ★★ </v>
      </c>
      <c r="D10" s="109" t="str">
        <f>"Group Tooth-brushing Activity" &amp; CHAR(10) &amp; " " &amp; IF(Charts!P119&gt;0,REPT("★",Charts!P119),"0 Star") &amp; " "</f>
        <v xml:space="preserve">Group Tooth-brushing Activity
 0 Star </v>
      </c>
      <c r="E10" s="109" t="str">
        <f>"Available Tooth-brush &amp; paste" &amp; CHAR(10) &amp; " " &amp; IF(Charts!P120&gt;0,REPT("★",Charts!P120),"0 Star") &amp; " "</f>
        <v xml:space="preserve">Available Tooth-brush &amp; paste
 0 Star </v>
      </c>
    </row>
    <row r="11" spans="2:9" ht="45" x14ac:dyDescent="0.25">
      <c r="B11" s="147"/>
      <c r="C11" s="109" t="str">
        <f>"WinS in SIP/AIP" &amp; CHAR(10) &amp; CHAR(10) &amp; " " &amp; IF(Charts!P121&gt;0,REPT("★",Charts!P121),"0 Star") &amp; " "</f>
        <v xml:space="preserve">WinS in SIP/AIP
 0 Star </v>
      </c>
      <c r="D11" s="109" t="str">
        <f>"Funding of " &amp; CHAR(10) &amp; "Supplies" &amp; CHAR(10) &amp; " " &amp; IF(Charts!P122&gt;0,REPT("★",Charts!P122),"0 Star") &amp; " "</f>
        <v xml:space="preserve">Funding of 
Supplies
 0 Star </v>
      </c>
      <c r="E11" s="109" t="str">
        <f>"Sanitary Pads" &amp; CHAR(10) &amp; CHAR(10) &amp; " " &amp; IF(Charts!P123&gt;0,REPT("★",Charts!P123),"0 Star") &amp; " "</f>
        <v xml:space="preserve">Sanitary Pads
 0 Star </v>
      </c>
    </row>
    <row r="12" spans="2:9" ht="45" customHeight="1" x14ac:dyDescent="0.25">
      <c r="B12" s="148"/>
      <c r="C12" s="109" t="str">
        <f>"Disposal of Sanitary Pads" &amp; CHAR(10) &amp; " " &amp; IF(Charts!P124&gt;0,REPT("★",Charts!P124),"0 Star") &amp; " "</f>
        <v xml:space="preserve">Disposal of Sanitary Pads
 ★ </v>
      </c>
      <c r="D12" s="109" t="str">
        <f>"IEC Materials for MHM" &amp; CHAR(10) &amp; " " &amp; IF(Charts!P125&gt;0,REPT("★",Charts!P125),"0 Star") &amp; " "</f>
        <v xml:space="preserve">IEC Materials for MHM
 ★ </v>
      </c>
      <c r="E12" s="109" t="str">
        <f>"Rest Space for MHM" &amp; CHAR(10) &amp; " " &amp; IF(Charts!P126&gt;0,REPT("★",Charts!P126),"0 Star") &amp; " "</f>
        <v xml:space="preserve">Rest Space for MHM
 ★★ </v>
      </c>
      <c r="F12" s="110"/>
    </row>
    <row r="13" spans="2:9" ht="45" customHeight="1" x14ac:dyDescent="0.25">
      <c r="B13" s="111" t="s">
        <v>84</v>
      </c>
      <c r="C13" s="109" t="str">
        <f>"Semi-annual Deworming" &amp; CHAR(10) &amp; " " &amp; IF(Charts!P129&gt;0,REPT("★",Charts!P129),"0 Star") &amp; " "</f>
        <v xml:space="preserve">Semi-annual Deworming
 0 Star </v>
      </c>
      <c r="D13" s="109" t="str">
        <f>"Pupils " &amp; CHAR(10) &amp; "Dewormed" &amp; CHAR(10) &amp; " " &amp; IF(Charts!P130&gt;0,REPT("★",Charts!P130),"0 Star") &amp; " "</f>
        <v xml:space="preserve">Pupils 
Dewormed
 0 Star </v>
      </c>
      <c r="E13" s="110"/>
      <c r="F13" s="110"/>
    </row>
    <row r="14" spans="2:9" ht="30" x14ac:dyDescent="0.25">
      <c r="B14" s="146" t="s">
        <v>85</v>
      </c>
      <c r="C14" s="109" t="str">
        <f>"IEC Materials" &amp; CHAR(10) &amp; " " &amp; IF(Charts!P136&gt;0,REPT("★",Charts!P136),"0 Star") &amp; " "</f>
        <v xml:space="preserve">IEC Materials
 0 Star </v>
      </c>
      <c r="D14" s="109" t="str">
        <f>"Organized Teams" &amp; CHAR(10) &amp; " " &amp; IF(Charts!P137&gt;0,REPT("★",Charts!P137),"0 Star") &amp; " "</f>
        <v xml:space="preserve">Organized Teams
 0 Star </v>
      </c>
      <c r="E14" s="109" t="str">
        <f>"INSET" &amp; CHAR(10) &amp; " " &amp; IF(Charts!P138&gt;0,REPT("★",Charts!P138),"0 Star") &amp; " "</f>
        <v xml:space="preserve">INSET
 ★ </v>
      </c>
    </row>
    <row r="15" spans="2:9" ht="45" x14ac:dyDescent="0.25">
      <c r="B15" s="148"/>
      <c r="C15" s="109" t="str">
        <f>"Learning " &amp; CHAR(10) &amp; "Materials" &amp; CHAR(10) &amp; " " &amp; IF(Charts!P139&gt;0,REPT("★",Charts!P139),"0 Star") &amp; " "</f>
        <v xml:space="preserve">Learning 
Materials
 ★★ </v>
      </c>
      <c r="D15" s="109" t="str">
        <f>"Advocacy for Parents" &amp; CHAR(10) &amp; " " &amp; IF(Charts!P140&gt;0,REPT("★",Charts!P140),"0 Star") &amp; " "</f>
        <v xml:space="preserve">Advocacy for Parents
 ★ </v>
      </c>
      <c r="E15" s="109" t="str">
        <f>"Extra Curricular Activities" &amp; CHAR(10) &amp; " " &amp; IF(Charts!P141&gt;0,REPT("★",Charts!P141),"0 Star") &amp; " "</f>
        <v xml:space="preserve">Extra Curricular Activities
 ★ </v>
      </c>
      <c r="F15" s="110"/>
    </row>
    <row r="17" spans="2:3" x14ac:dyDescent="0.25">
      <c r="B17" s="114" t="s">
        <v>382</v>
      </c>
    </row>
    <row r="18" spans="2:3" x14ac:dyDescent="0.25">
      <c r="B18" s="112" t="s">
        <v>383</v>
      </c>
      <c r="C18" s="112" t="s">
        <v>380</v>
      </c>
    </row>
    <row r="19" spans="2:3" x14ac:dyDescent="0.25">
      <c r="B19" s="112" t="s">
        <v>381</v>
      </c>
      <c r="C19" s="113" t="s">
        <v>379</v>
      </c>
    </row>
  </sheetData>
  <sheetProtection sheet="1" objects="1" scenarios="1"/>
  <mergeCells count="3">
    <mergeCell ref="B5:B8"/>
    <mergeCell ref="B9:B12"/>
    <mergeCell ref="B14:B15"/>
  </mergeCells>
  <conditionalFormatting sqref="C5:F15 C4:E4">
    <cfRule type="expression" dxfId="40" priority="1">
      <formula>RIGHT(C4,7)=" ★★★★★ "</formula>
    </cfRule>
    <cfRule type="expression" dxfId="39" priority="6">
      <formula>RIGHT(C4,8)=" 0 Star "</formula>
    </cfRule>
    <cfRule type="expression" dxfId="38" priority="7">
      <formula>RIGHT(C4,5)=" ★★★ "</formula>
    </cfRule>
    <cfRule type="expression" dxfId="37" priority="8">
      <formula>RIGHT(C4,3)=" ★ "</formula>
    </cfRule>
    <cfRule type="expression" dxfId="36" priority="9">
      <formula>RIGHT(C4,4)=" ★★ "</formula>
    </cfRule>
  </conditionalFormatting>
  <conditionalFormatting sqref="C4:E12">
    <cfRule type="expression" dxfId="35" priority="5">
      <formula>$I$2="Yes"</formula>
    </cfRule>
  </conditionalFormatting>
  <conditionalFormatting sqref="F5:F9">
    <cfRule type="expression" dxfId="34" priority="4">
      <formula>$I$2="Yes"</formula>
    </cfRule>
  </conditionalFormatting>
  <conditionalFormatting sqref="C13:D15">
    <cfRule type="expression" dxfId="33" priority="3">
      <formula>$I$2="Yes"</formula>
    </cfRule>
  </conditionalFormatting>
  <conditionalFormatting sqref="E14:E15">
    <cfRule type="expression" dxfId="32" priority="2">
      <formula>$I$2="Yes"</formula>
    </cfRule>
  </conditionalFormatting>
  <dataValidations disablePrompts="1" count="1">
    <dataValidation type="list" allowBlank="1" showInputMessage="1" showErrorMessage="1" sqref="I2">
      <formula1>"Yes,No"</formula1>
    </dataValidation>
  </dataValidations>
  <hyperlinks>
    <hyperlink ref="C4" location="'3Stars'!I9" display="'3Stars'!I9"/>
    <hyperlink ref="E4" location="'3Stars'!I11" display="'3Stars'!I11"/>
    <hyperlink ref="D4" location="'3Stars'!I10" display="'3Stars'!I10"/>
    <hyperlink ref="C5" location="'3Stars'!I12" display="'3Stars'!I12"/>
    <hyperlink ref="D5" location="'3Stars'!I13" display="'3Stars'!I13"/>
    <hyperlink ref="E5" location="'3Stars'!I14" display="'3Stars'!I14"/>
    <hyperlink ref="F5" location="'3Stars'!I15" display="'3Stars'!I15"/>
    <hyperlink ref="C6" location="'3Stars'!I16" display="'3Stars'!I16"/>
    <hyperlink ref="D6" location="'3Stars'!I17" display="'3Stars'!I17"/>
    <hyperlink ref="E6" location="'3Stars'!I18" display="'3Stars'!I18"/>
    <hyperlink ref="F6" location="'3Stars'!I19" display="'3Stars'!I19"/>
    <hyperlink ref="C7" location="'3Stars'!I20" display="'3Stars'!I20"/>
    <hyperlink ref="D7" location="'3Stars'!I21" display="'3Stars'!I21"/>
    <hyperlink ref="E7" location="'3Stars'!I22" display="'3Stars'!I22"/>
    <hyperlink ref="F7" location="'3Stars'!I23" display="'3Stars'!I23"/>
    <hyperlink ref="C8" location="'3Stars'!I24" display="'3Stars'!I24"/>
    <hyperlink ref="D8" location="'3Stars'!I25" display="'3Stars'!I25"/>
    <hyperlink ref="E8" location="'3Stars'!I26" display="'3Stars'!I26"/>
    <hyperlink ref="F8" location="'3Stars'!I27" display="'3Stars'!I27"/>
    <hyperlink ref="D9" location="'3Stars'!I29" display="'3Stars'!I29"/>
    <hyperlink ref="E9" location="'3Stars'!I30" display="'3Stars'!I30"/>
    <hyperlink ref="F9" location="'3Stars'!I31" display="'3Stars'!I31"/>
    <hyperlink ref="C10" location="'3Stars'!I32" display="'3Stars'!I32"/>
    <hyperlink ref="D10" location="'3Stars'!I33" display="'3Stars'!I33"/>
    <hyperlink ref="E10" location="'3Stars'!I34" display="'3Stars'!I34"/>
    <hyperlink ref="C11" location="'3Stars'!I35" display="'3Stars'!I35"/>
    <hyperlink ref="D11" location="'3Stars'!I36" display="'3Stars'!I36"/>
    <hyperlink ref="E11" location="'3Stars'!I37" display="'3Stars'!I37"/>
    <hyperlink ref="C12" location="'3Stars'!I38" display="'3Stars'!I38"/>
    <hyperlink ref="D12" location="'3Stars'!I39" display="'3Stars'!I39"/>
    <hyperlink ref="E12" location="'3Stars'!I40" display="'3Stars'!I40"/>
    <hyperlink ref="C13" location="'3Stars'!I41" display="'3Stars'!I41"/>
    <hyperlink ref="D13" location="'3Stars'!I42" display="'3Stars'!I42"/>
    <hyperlink ref="C14" location="'3Stars'!I43" display="'3Stars'!I43"/>
    <hyperlink ref="D14" location="'3Stars'!I44" display="'3Stars'!I44"/>
    <hyperlink ref="E14" location="'3Stars'!I45" display="'3Stars'!I45"/>
    <hyperlink ref="C15" location="'3Stars'!I46" display="'3Stars'!I46"/>
    <hyperlink ref="D15" location="'3Stars'!I47" display="'3Stars'!I47"/>
    <hyperlink ref="E15" location="'3Stars'!I48" display="'3Stars'!I48"/>
    <hyperlink ref="C9" location="'3Stars'!I28" display="'3Stars'!I28"/>
  </hyperlinks>
  <printOptions horizontalCentered="1"/>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48"/>
  <sheetViews>
    <sheetView showGridLines="0" zoomScaleNormal="100" workbookViewId="0"/>
  </sheetViews>
  <sheetFormatPr defaultRowHeight="15" x14ac:dyDescent="0.25"/>
  <cols>
    <col min="1" max="1" width="10.28515625" style="18" customWidth="1"/>
    <col min="2" max="2" width="2.5703125" style="96" customWidth="1"/>
    <col min="3" max="3" width="39.28515625" style="18" customWidth="1"/>
    <col min="4" max="4" width="2.5703125" style="94" customWidth="1"/>
    <col min="5" max="5" width="39.28515625" style="18" customWidth="1"/>
    <col min="6" max="6" width="2.5703125" style="94" bestFit="1" customWidth="1"/>
    <col min="7" max="7" width="39.28515625" style="18" customWidth="1"/>
    <col min="8" max="8" width="5.7109375" style="59" hidden="1" customWidth="1"/>
    <col min="9" max="9" width="6.28515625" style="17" customWidth="1"/>
    <col min="10" max="16384" width="9.140625" style="18"/>
  </cols>
  <sheetData>
    <row r="1" spans="1:9" x14ac:dyDescent="0.25">
      <c r="A1" s="34" t="s">
        <v>98</v>
      </c>
      <c r="B1" s="95"/>
      <c r="C1" s="35"/>
      <c r="D1" s="93"/>
      <c r="E1" s="35"/>
      <c r="F1" s="93"/>
      <c r="G1" s="35"/>
      <c r="H1" s="58"/>
      <c r="I1" s="34"/>
    </row>
    <row r="2" spans="1:9" x14ac:dyDescent="0.25">
      <c r="A2" s="34" t="s">
        <v>361</v>
      </c>
      <c r="B2" s="95"/>
      <c r="C2" s="35"/>
      <c r="D2" s="93"/>
      <c r="E2" s="35"/>
      <c r="F2" s="93"/>
      <c r="G2" s="35"/>
      <c r="H2" s="58"/>
      <c r="I2" s="34"/>
    </row>
    <row r="3" spans="1:9" x14ac:dyDescent="0.25">
      <c r="A3" s="17"/>
    </row>
    <row r="4" spans="1:9" x14ac:dyDescent="0.25">
      <c r="A4" s="19" t="s">
        <v>95</v>
      </c>
      <c r="B4" s="33">
        <f>Entry!D14</f>
        <v>0</v>
      </c>
      <c r="E4" s="20"/>
      <c r="G4" s="21" t="s">
        <v>99</v>
      </c>
      <c r="H4" s="60"/>
      <c r="I4" s="103" t="str">
        <f>IF(AND(H9,H12,H28,H30,H37),IF(I5&gt;=2.75,"★★★",IF(AND(I5&gt;=1.75,I5&lt;2.75),"★★",IF(AND(I5&gt;=0.75,I5&lt;1.75),"★","0 Star"))),"0 Star")</f>
        <v>0 Star</v>
      </c>
    </row>
    <row r="5" spans="1:9" x14ac:dyDescent="0.25">
      <c r="A5" s="19" t="s">
        <v>96</v>
      </c>
      <c r="B5" s="33" t="str">
        <f>IF(Entry!D13="","",Entry!D13)</f>
        <v/>
      </c>
      <c r="E5" s="20"/>
      <c r="I5" s="122">
        <f>IF(AND(H9,H12,H28,H30,H37),ROUND(AVERAGE(I9:I48),2),0)</f>
        <v>0</v>
      </c>
    </row>
    <row r="6" spans="1:9" x14ac:dyDescent="0.25">
      <c r="A6" s="19" t="s">
        <v>97</v>
      </c>
      <c r="B6" s="33">
        <f>Entry!D11</f>
        <v>0</v>
      </c>
      <c r="E6" s="20"/>
    </row>
    <row r="7" spans="1:9" x14ac:dyDescent="0.25">
      <c r="E7" s="20"/>
    </row>
    <row r="8" spans="1:9" x14ac:dyDescent="0.25">
      <c r="A8" s="22" t="s">
        <v>77</v>
      </c>
      <c r="B8" s="23" t="s">
        <v>78</v>
      </c>
      <c r="C8" s="24"/>
      <c r="D8" s="23" t="s">
        <v>79</v>
      </c>
      <c r="E8" s="24"/>
      <c r="F8" s="23" t="s">
        <v>80</v>
      </c>
      <c r="G8" s="24"/>
      <c r="H8" s="61"/>
      <c r="I8" s="25" t="s">
        <v>87</v>
      </c>
    </row>
    <row r="9" spans="1:9" ht="45" customHeight="1" x14ac:dyDescent="0.25">
      <c r="A9" s="26" t="s">
        <v>83</v>
      </c>
      <c r="B9" s="97" t="str">
        <f>IF(AND(OR(Entry!D27="No drinking water in the school",Entry!D27=""),Entry!D33="Check"),"✓","")</f>
        <v/>
      </c>
      <c r="C9" s="54" t="s">
        <v>395</v>
      </c>
      <c r="D9" s="97" t="str">
        <f>IF(OR(Entry!D27="Yes, but supply is not regular",AND(Entry!D27="All the time", OR(Entry!D28&lt;&gt;"Yes",Entry!D31&lt;&gt;"Yes"))),"✓","")</f>
        <v/>
      </c>
      <c r="E9" s="55" t="s">
        <v>396</v>
      </c>
      <c r="F9" s="97" t="str">
        <f>IF(AND(Entry!D27="All the time",Entry!D28="Yes",Entry!D31="Yes"),"✓","")</f>
        <v/>
      </c>
      <c r="G9" s="54" t="s">
        <v>397</v>
      </c>
      <c r="H9" s="67">
        <f t="shared" ref="H9:H12" si="0">IF(F9&lt;&gt;"",3,IF(OR(E9="",D9&lt;&gt;""),2,IF(OR(C9="",B9&lt;&gt;""),1,0)))</f>
        <v>0</v>
      </c>
      <c r="I9" s="104">
        <f t="shared" ref="I9" si="1">IF(F9&lt;&gt;"",3,IF(OR(E9="",D9&lt;&gt;""),2,IF(OR(C9="",B9&lt;&gt;""),1,0)))</f>
        <v>0</v>
      </c>
    </row>
    <row r="10" spans="1:9" ht="45" customHeight="1" x14ac:dyDescent="0.25">
      <c r="A10" s="29"/>
      <c r="B10" s="98" t="str">
        <f>IF(AND(Entry!D29="Yes",Entry!D30=0),"✓","")</f>
        <v/>
      </c>
      <c r="C10" s="28" t="s">
        <v>398</v>
      </c>
      <c r="D10" s="98" t="str">
        <f>IF(Entry!D30=1,"✓","")</f>
        <v/>
      </c>
      <c r="E10" s="28" t="s">
        <v>399</v>
      </c>
      <c r="F10" s="98" t="str">
        <f>IF(Entry!D30&gt;1,"✓","")</f>
        <v/>
      </c>
      <c r="G10" s="27" t="s">
        <v>400</v>
      </c>
      <c r="H10" s="15">
        <f>IF(F10&lt;&gt;"",3,IF(OR(E10="",D10&lt;&gt;""),2,IF(OR(C10="",B10&lt;&gt;""),1,0)))</f>
        <v>0</v>
      </c>
      <c r="I10" s="105">
        <f>IF(F10&lt;&gt;"",3,IF(OR(E10="",D10&lt;&gt;""),2,IF(OR(C10="",B10&lt;&gt;""),1,0)))</f>
        <v>0</v>
      </c>
    </row>
    <row r="11" spans="1:9" ht="45" x14ac:dyDescent="0.25">
      <c r="A11" s="29"/>
      <c r="B11" s="98" t="str">
        <f>IF(Entry!D38="Available only on certain days of the week","✓","")</f>
        <v/>
      </c>
      <c r="C11" s="28" t="s">
        <v>401</v>
      </c>
      <c r="D11" s="98" t="str">
        <f>IF(Entry!D38="Available daily but only in certain hours","✓","")</f>
        <v/>
      </c>
      <c r="E11" s="28" t="s">
        <v>402</v>
      </c>
      <c r="F11" s="98" t="str">
        <f>IF(Entry!D38="Available daily for 24 hours","✓","")</f>
        <v/>
      </c>
      <c r="G11" s="27" t="s">
        <v>403</v>
      </c>
      <c r="H11" s="15">
        <f>IF(F11&lt;&gt;"",3,IF(OR(E11="",D11&lt;&gt;""),2,IF(OR(C11="",B11&lt;&gt;""),1,0)))</f>
        <v>0</v>
      </c>
      <c r="I11" s="105">
        <f>IF(F11&lt;&gt;"",3,IF(OR(E11="",D11&lt;&gt;""),2,IF(OR(C11="",B11&lt;&gt;""),1,0)))</f>
        <v>0</v>
      </c>
    </row>
    <row r="12" spans="1:9" ht="60.75" customHeight="1" x14ac:dyDescent="0.25">
      <c r="A12" s="30" t="s">
        <v>81</v>
      </c>
      <c r="B12" s="98" t="str">
        <f>IF(AND(Entry!D44&gt;0,Entry!E44&gt;0),IF(SUM(Entry!D20:E22)/SUM(Entry!D44:F44)&gt;100,"✓",""),"")</f>
        <v/>
      </c>
      <c r="C12" s="84" t="s">
        <v>404</v>
      </c>
      <c r="D12" s="98" t="str">
        <f>IF(AND(Entry!D44&gt;0,Entry!E44&gt;0),IF(OR(AND(SUM(Entry!D20:E22)/SUM(Entry!D44:F44)&gt;50,SUM(Entry!D20:E22)/SUM(Entry!D44:F44)&lt;=100),AND(SUM(Entry!D20:E22)/SUM(Entry!D44:F44)&lt;=50,F12="")),"✓",""),"")</f>
        <v/>
      </c>
      <c r="E12" s="28" t="s">
        <v>405</v>
      </c>
      <c r="F12" s="98" t="str">
        <f>IF(AND(Entry!D44&gt;0,Entry!E44&gt;0),IF(AND(SUM(Entry!D20:D22)/SUM(Entry!D44:D44)&lt;=50,SUM(Entry!E20:E22)/SUM(Entry!E44:E44)&lt;=50),"✓",""),"")</f>
        <v/>
      </c>
      <c r="G12" s="27" t="s">
        <v>406</v>
      </c>
      <c r="H12" s="85">
        <f t="shared" si="0"/>
        <v>0</v>
      </c>
      <c r="I12" s="105">
        <f t="shared" ref="I12" si="2">IF(F12&lt;&gt;"",3,IF(OR(E12="",D12&lt;&gt;""),2,IF(OR(C12="",B12&lt;&gt;""),1,0)))</f>
        <v>0</v>
      </c>
    </row>
    <row r="13" spans="1:9" ht="45" customHeight="1" x14ac:dyDescent="0.25">
      <c r="A13" s="31"/>
      <c r="B13" s="116" t="str">
        <f>IF(AND(Entry!D47="Yes",Entry!D48="Yes",Entry!D49="Yes",Entry!D50="Yes"),"✓","")</f>
        <v/>
      </c>
      <c r="C13" s="54" t="s">
        <v>407</v>
      </c>
      <c r="D13" s="116" t="str">
        <f>IF(Entry!D47="Yes","✓","")</f>
        <v/>
      </c>
      <c r="E13" s="55" t="s">
        <v>408</v>
      </c>
      <c r="F13" s="99" t="str">
        <f>IF(AND(Entry!D47="Yes",Entry!D48="Yes",Entry!D49="Yes",Entry!D50="Yes"),"✓","")</f>
        <v/>
      </c>
      <c r="G13" s="54" t="s">
        <v>409</v>
      </c>
      <c r="H13" s="67">
        <f t="shared" ref="H13:H19" si="3">IF(F13&lt;&gt;"",3,IF(OR(E13="",D13&lt;&gt;""),2,IF(OR(C13="",B13&lt;&gt;""),1,0)))</f>
        <v>0</v>
      </c>
      <c r="I13" s="104">
        <f>MIN(H13:H17)</f>
        <v>0</v>
      </c>
    </row>
    <row r="14" spans="1:9" ht="30" x14ac:dyDescent="0.25">
      <c r="A14" s="31"/>
      <c r="B14" s="99"/>
      <c r="C14" s="66"/>
      <c r="D14" s="116" t="str">
        <f>IF(Entry!D105="Check","✓","")</f>
        <v/>
      </c>
      <c r="E14" s="55" t="s">
        <v>410</v>
      </c>
      <c r="F14" s="99" t="str">
        <f>IF(Entry!D105="Check","✓","")</f>
        <v/>
      </c>
      <c r="G14" s="54" t="s">
        <v>411</v>
      </c>
      <c r="H14" s="67">
        <f t="shared" si="3"/>
        <v>1</v>
      </c>
      <c r="I14" s="104"/>
    </row>
    <row r="15" spans="1:9" ht="30" x14ac:dyDescent="0.25">
      <c r="A15" s="31"/>
      <c r="B15" s="99"/>
      <c r="C15" s="66"/>
      <c r="D15" s="99" t="str">
        <f>IF(AND(Entry!E44&lt;&gt;1,Entry!D51=1),"✓","")</f>
        <v/>
      </c>
      <c r="E15" s="55" t="s">
        <v>412</v>
      </c>
      <c r="F15" s="99" t="str">
        <f>IF(OR(Entry!D51&gt;1,AND(Entry!E44=1,Entry!D51=1)),"✓","")</f>
        <v/>
      </c>
      <c r="G15" s="54" t="s">
        <v>413</v>
      </c>
      <c r="H15" s="67">
        <f t="shared" si="3"/>
        <v>1</v>
      </c>
      <c r="I15" s="104"/>
    </row>
    <row r="16" spans="1:9" ht="30" customHeight="1" x14ac:dyDescent="0.25">
      <c r="A16" s="31"/>
      <c r="B16" s="99"/>
      <c r="C16" s="66"/>
      <c r="D16" s="116" t="str">
        <f>IF(Entry!D52="Yes","✓","")</f>
        <v/>
      </c>
      <c r="E16" s="55" t="s">
        <v>414</v>
      </c>
      <c r="F16" s="99" t="str">
        <f>IF(Entry!D52="Yes","✓","")</f>
        <v/>
      </c>
      <c r="G16" s="54" t="s">
        <v>415</v>
      </c>
      <c r="H16" s="67">
        <f t="shared" si="3"/>
        <v>1</v>
      </c>
      <c r="I16" s="104"/>
    </row>
    <row r="17" spans="1:9" ht="30" x14ac:dyDescent="0.25">
      <c r="A17" s="31"/>
      <c r="B17" s="100"/>
      <c r="C17" s="68"/>
      <c r="D17" s="100"/>
      <c r="E17" s="69"/>
      <c r="F17" s="100" t="str">
        <f>IF(Entry!D53="Yes","✓","")</f>
        <v/>
      </c>
      <c r="G17" s="56" t="s">
        <v>416</v>
      </c>
      <c r="H17" s="70">
        <f t="shared" si="3"/>
        <v>2</v>
      </c>
      <c r="I17" s="106"/>
    </row>
    <row r="18" spans="1:9" ht="30" x14ac:dyDescent="0.25">
      <c r="A18" s="32"/>
      <c r="B18" s="117" t="str">
        <f>IF(Entry!D54="Daily","✓","")</f>
        <v/>
      </c>
      <c r="C18" s="27" t="s">
        <v>417</v>
      </c>
      <c r="D18" s="117" t="str">
        <f>IF(Entry!D54="Daily","✓","")</f>
        <v/>
      </c>
      <c r="E18" s="27" t="s">
        <v>418</v>
      </c>
      <c r="F18" s="98" t="str">
        <f>IF(Entry!D54="Daily","✓","")</f>
        <v/>
      </c>
      <c r="G18" s="27" t="s">
        <v>419</v>
      </c>
      <c r="H18" s="15">
        <f t="shared" si="3"/>
        <v>0</v>
      </c>
      <c r="I18" s="105">
        <f t="shared" ref="I18:I19" si="4">IF(F18&lt;&gt;"",3,IF(OR(E18="",D18&lt;&gt;""),2,IF(OR(C18="",B18&lt;&gt;""),1,0)))</f>
        <v>0</v>
      </c>
    </row>
    <row r="19" spans="1:9" ht="75" x14ac:dyDescent="0.25">
      <c r="A19" s="31"/>
      <c r="B19" s="117" t="str">
        <f>IF(Entry!D132="Check","✓","")</f>
        <v/>
      </c>
      <c r="C19" s="27" t="s">
        <v>420</v>
      </c>
      <c r="D19" s="117" t="str">
        <f>IF(Entry!D132="Check","✓","")</f>
        <v/>
      </c>
      <c r="E19" s="28" t="s">
        <v>421</v>
      </c>
      <c r="F19" s="98" t="str">
        <f>IF(Entry!D132="Check","✓","")</f>
        <v/>
      </c>
      <c r="G19" s="27" t="s">
        <v>422</v>
      </c>
      <c r="H19" s="15">
        <f t="shared" si="3"/>
        <v>0</v>
      </c>
      <c r="I19" s="105">
        <f t="shared" si="4"/>
        <v>0</v>
      </c>
    </row>
    <row r="20" spans="1:9" ht="15.75" x14ac:dyDescent="0.25">
      <c r="A20" s="31"/>
      <c r="B20" s="118" t="str">
        <f>IF(Entry!D55="No","✓","")</f>
        <v/>
      </c>
      <c r="C20" s="53" t="s">
        <v>423</v>
      </c>
      <c r="D20" s="118" t="str">
        <f>IF(Entry!D55="No","✓","")</f>
        <v/>
      </c>
      <c r="E20" s="53" t="s">
        <v>424</v>
      </c>
      <c r="F20" s="97" t="str">
        <f>IF(Entry!D55="No","✓","")</f>
        <v/>
      </c>
      <c r="G20" s="53" t="s">
        <v>425</v>
      </c>
      <c r="H20" s="62">
        <f t="shared" ref="H20:H23" si="5">IF(F20&lt;&gt;"",3,IF(OR(E20="",D20&lt;&gt;""),2,IF(OR(C20="",B20&lt;&gt;""),1,0)))</f>
        <v>0</v>
      </c>
      <c r="I20" s="107">
        <f>MIN(H20:H23)</f>
        <v>0</v>
      </c>
    </row>
    <row r="21" spans="1:9" ht="60" x14ac:dyDescent="0.25">
      <c r="A21" s="31"/>
      <c r="B21" s="99" t="str">
        <f>IF(AND(D21="",F21="",Entry!D57="Check"),"✓","")</f>
        <v/>
      </c>
      <c r="C21" s="54" t="s">
        <v>426</v>
      </c>
      <c r="D21" s="99" t="str">
        <f>IF(AND(F21="",COUNTA(Entry!D57:E58)=2),"✓","")</f>
        <v/>
      </c>
      <c r="E21" s="55" t="s">
        <v>427</v>
      </c>
      <c r="F21" s="99" t="str">
        <f>IF(COUNTA(Entry!D57:E65)=9,"✓","")</f>
        <v/>
      </c>
      <c r="G21" s="54" t="s">
        <v>428</v>
      </c>
      <c r="H21" s="63">
        <f t="shared" si="5"/>
        <v>0</v>
      </c>
      <c r="I21" s="104"/>
    </row>
    <row r="22" spans="1:9" ht="45.75" customHeight="1" x14ac:dyDescent="0.25">
      <c r="A22" s="31"/>
      <c r="B22" s="116" t="str">
        <f>IF(AND(Entry!D66="Yes",Entry!D67&lt;&gt;"Yes"),"✓","")</f>
        <v/>
      </c>
      <c r="C22" s="54" t="s">
        <v>429</v>
      </c>
      <c r="D22" s="99" t="str">
        <f>IF(AND(Entry!D66="Yes",Entry!D67&lt;&gt;"Yes"),"✓","")</f>
        <v/>
      </c>
      <c r="E22" s="55" t="s">
        <v>430</v>
      </c>
      <c r="F22" s="99" t="str">
        <f>IF(AND(Entry!D66="Yes",Entry!D67="Yes"),"✓","")</f>
        <v/>
      </c>
      <c r="G22" s="54" t="s">
        <v>431</v>
      </c>
      <c r="H22" s="63">
        <f t="shared" si="5"/>
        <v>0</v>
      </c>
      <c r="I22" s="104"/>
    </row>
    <row r="23" spans="1:9" ht="75" x14ac:dyDescent="0.25">
      <c r="A23" s="31"/>
      <c r="B23" s="100" t="str">
        <f>IF(AND(D23="",F23="",OR(Entry!D68="No collection",AND(Entry!D69="Yes",Entry!D70="Yes"))),"✓","")</f>
        <v/>
      </c>
      <c r="C23" s="56" t="s">
        <v>432</v>
      </c>
      <c r="D23" s="100" t="str">
        <f>IF(AND(F23="",OR(Entry!D68="Once a week",AND(Entry!D69="Yes",Entry!D70="Yes"))),"✓","")</f>
        <v/>
      </c>
      <c r="E23" s="57" t="s">
        <v>433</v>
      </c>
      <c r="F23" s="100" t="str">
        <f>IF(OR(OR(Entry!D68="Daily",Entry!D68="2-3 times a week"),AND(Entry!D69="Yes",Entry!D71="Yes")),"✓","")</f>
        <v/>
      </c>
      <c r="G23" s="56" t="s">
        <v>434</v>
      </c>
      <c r="H23" s="64">
        <f t="shared" si="5"/>
        <v>0</v>
      </c>
      <c r="I23" s="106"/>
    </row>
    <row r="24" spans="1:9" ht="30" x14ac:dyDescent="0.25">
      <c r="A24" s="31"/>
      <c r="B24" s="118" t="str">
        <f>IF(Entry!D72="All","✓","")</f>
        <v/>
      </c>
      <c r="C24" s="53" t="s">
        <v>435</v>
      </c>
      <c r="D24" s="118" t="str">
        <f>IF(Entry!D72="All","✓","")</f>
        <v/>
      </c>
      <c r="E24" s="53" t="s">
        <v>436</v>
      </c>
      <c r="F24" s="97" t="str">
        <f>IF(Entry!D72="All","✓","")</f>
        <v/>
      </c>
      <c r="G24" s="53" t="s">
        <v>437</v>
      </c>
      <c r="H24" s="62">
        <f t="shared" ref="H24:H27" si="6">IF(F24&lt;&gt;"",3,IF(OR(E24="",D24&lt;&gt;""),2,IF(OR(C24="",B24&lt;&gt;""),1,0)))</f>
        <v>0</v>
      </c>
      <c r="I24" s="107">
        <f>MIN(H24:H26)</f>
        <v>0</v>
      </c>
    </row>
    <row r="25" spans="1:9" ht="45" x14ac:dyDescent="0.25">
      <c r="A25" s="31"/>
      <c r="B25" s="116" t="str">
        <f>IF(Entry!D73="Yes","✓","")</f>
        <v/>
      </c>
      <c r="C25" s="54" t="s">
        <v>438</v>
      </c>
      <c r="D25" s="116" t="str">
        <f>IF(Entry!D73="Yes","✓","")</f>
        <v/>
      </c>
      <c r="E25" s="54" t="s">
        <v>439</v>
      </c>
      <c r="F25" s="99" t="str">
        <f>IF(Entry!D73="Yes","✓","")</f>
        <v/>
      </c>
      <c r="G25" s="54" t="s">
        <v>440</v>
      </c>
      <c r="H25" s="63">
        <f t="shared" si="6"/>
        <v>0</v>
      </c>
      <c r="I25" s="104"/>
    </row>
    <row r="26" spans="1:9" ht="60.75" customHeight="1" x14ac:dyDescent="0.25">
      <c r="A26" s="31"/>
      <c r="B26" s="99"/>
      <c r="C26" s="54"/>
      <c r="D26" s="99"/>
      <c r="E26" s="55"/>
      <c r="F26" s="99" t="str">
        <f>IF(AND(Entry!D74="Yes",COUNTA(Entry!D76:E80)&gt;0),"✓","")</f>
        <v/>
      </c>
      <c r="G26" s="54" t="s">
        <v>441</v>
      </c>
      <c r="H26" s="63">
        <f t="shared" si="6"/>
        <v>2</v>
      </c>
      <c r="I26" s="104"/>
    </row>
    <row r="27" spans="1:9" ht="45" x14ac:dyDescent="0.25">
      <c r="A27" s="32"/>
      <c r="B27" s="124" t="str">
        <f>IF(AND(D27="",F27="",Entry!D87="All"),"✓","")</f>
        <v/>
      </c>
      <c r="C27" s="27" t="s">
        <v>442</v>
      </c>
      <c r="D27" s="124" t="str">
        <f>IF(AND(F27="",Entry!D87="All",Entry!D88="All"),"✓","")</f>
        <v/>
      </c>
      <c r="E27" s="28" t="s">
        <v>443</v>
      </c>
      <c r="F27" s="98" t="str">
        <f>IF(AND(Entry!D87="All",Entry!D88="All", OR(Entry!D81&lt;&gt;"Yes",AND(Entry!D81="Yes",Entry!D82="Yes"))),"✓","")</f>
        <v/>
      </c>
      <c r="G27" s="27" t="s">
        <v>444</v>
      </c>
      <c r="H27" s="15">
        <f t="shared" si="6"/>
        <v>0</v>
      </c>
      <c r="I27" s="105">
        <f t="shared" ref="I27" si="7">IF(F27&lt;&gt;"",3,IF(OR(E27="",D27&lt;&gt;""),2,IF(OR(C27="",B27&lt;&gt;""),1,0)))</f>
        <v>0</v>
      </c>
    </row>
    <row r="28" spans="1:9" ht="44.25" customHeight="1" x14ac:dyDescent="0.25">
      <c r="A28" s="30" t="s">
        <v>82</v>
      </c>
      <c r="B28" s="97" t="str">
        <f>IF(AND(Entry!D93&gt;=5,AND(Entry!D95="Check",Entry!D96="", Entry!D97="")),"✓","")</f>
        <v/>
      </c>
      <c r="C28" s="53" t="s">
        <v>445</v>
      </c>
      <c r="D28" s="97" t="str">
        <f>IF(AND(Entry!D93&gt;=5,AND(Entry!D96="Check", Entry!D97="")),"✓","")</f>
        <v/>
      </c>
      <c r="E28" s="101" t="s">
        <v>446</v>
      </c>
      <c r="F28" s="97" t="str">
        <f>IF(AND(Entry!D93&gt;=5,Entry!D97="Check"),"✓","")</f>
        <v/>
      </c>
      <c r="G28" s="53" t="s">
        <v>447</v>
      </c>
      <c r="H28" s="65">
        <f>IF(Entry!D10="Elementary",IF(F28&lt;&gt;"",3,IF(OR(E28="",D28&lt;&gt;""),2,IF(OR(C28="",B28&lt;&gt;""),1,0))),5)</f>
        <v>5</v>
      </c>
      <c r="I28" s="107">
        <f>MIN(H28:H32)</f>
        <v>0</v>
      </c>
    </row>
    <row r="29" spans="1:9" ht="15" customHeight="1" x14ac:dyDescent="0.25">
      <c r="A29" s="31"/>
      <c r="B29" s="116" t="str">
        <f>IF(Entry!D102="Yes","✓","")</f>
        <v/>
      </c>
      <c r="C29" s="54" t="s">
        <v>448</v>
      </c>
      <c r="D29" s="116" t="str">
        <f>IF(Entry!D102="Yes","✓","")</f>
        <v/>
      </c>
      <c r="E29" s="54" t="s">
        <v>449</v>
      </c>
      <c r="F29" s="99" t="str">
        <f>IF(Entry!D102="Yes","✓","")</f>
        <v/>
      </c>
      <c r="G29" s="54" t="s">
        <v>450</v>
      </c>
      <c r="H29" s="63">
        <f t="shared" ref="H29:H32" si="8">IF(F29&lt;&gt;"",3,IF(OR(E29="",D29&lt;&gt;""),2,IF(OR(C29="",B29&lt;&gt;""),1,0)))</f>
        <v>0</v>
      </c>
      <c r="I29" s="104"/>
    </row>
    <row r="30" spans="1:9" ht="30.75" customHeight="1" x14ac:dyDescent="0.25">
      <c r="A30" s="31"/>
      <c r="B30" s="99" t="str">
        <f>IF(AND(D30="",F30="",Entry!D100&gt;=1),"✓","")</f>
        <v/>
      </c>
      <c r="C30" s="54" t="s">
        <v>451</v>
      </c>
      <c r="D30" s="99" t="str">
        <f>IF(Entry!D10="Elementary",IF(Entry!D100&gt;0,IF(AND(F30="",Entry!F20/Entry!E100&lt;=20),"✓",""),""),IF(Entry!D100&gt;0,IF(AND(F30="",Entry!F20/Entry!E100&lt;=50),"✓",""),""))</f>
        <v/>
      </c>
      <c r="E30" s="55" t="s">
        <v>452</v>
      </c>
      <c r="F30" s="99" t="str">
        <f>IF(Entry!D10="Elementary",IF(Entry!D100&gt;0,IF(Entry!F20/Entry!E100&lt;=10,"✓",""),""),IF(Entry!D100&gt;0,IF(Entry!F20/Entry!E100&lt;=25,"✓",""),""))</f>
        <v/>
      </c>
      <c r="G30" s="54" t="s">
        <v>453</v>
      </c>
      <c r="H30" s="67">
        <f>IF(Entry!D10="Elementary",IF(F30&lt;&gt;"",3,IF(OR(E30="",D30&lt;&gt;""),2,IF(OR(C30="",B30&lt;&gt;""),1,0))),5)</f>
        <v>5</v>
      </c>
      <c r="I30" s="104"/>
    </row>
    <row r="31" spans="1:9" ht="45.75" customHeight="1" x14ac:dyDescent="0.25">
      <c r="A31" s="31"/>
      <c r="B31" s="99"/>
      <c r="C31" s="54"/>
      <c r="D31" s="99"/>
      <c r="E31" s="55"/>
      <c r="F31" s="99" t="str">
        <f>IF(AND(Entry!D104="Check",Entry!D105="Check",Entry!D106="Check"),"✓","")</f>
        <v/>
      </c>
      <c r="G31" s="54" t="s">
        <v>454</v>
      </c>
      <c r="H31" s="63">
        <f t="shared" si="8"/>
        <v>2</v>
      </c>
      <c r="I31" s="104"/>
    </row>
    <row r="32" spans="1:9" ht="31.5" customHeight="1" x14ac:dyDescent="0.25">
      <c r="A32" s="31"/>
      <c r="B32" s="100"/>
      <c r="C32" s="56"/>
      <c r="D32" s="100"/>
      <c r="E32" s="57"/>
      <c r="F32" s="100" t="str">
        <f>IF(AND(Entry!D112="Check",Entry!D113="Check",OR(Entry!D114="Check",Entry!D115="Check",Entry!D116="Check")),"✓","")</f>
        <v/>
      </c>
      <c r="G32" s="56" t="s">
        <v>455</v>
      </c>
      <c r="H32" s="64">
        <f t="shared" si="8"/>
        <v>2</v>
      </c>
      <c r="I32" s="106"/>
    </row>
    <row r="33" spans="1:9" ht="45" customHeight="1" x14ac:dyDescent="0.25">
      <c r="A33" s="31"/>
      <c r="B33" s="97" t="str">
        <f>IF(AND(Entry!D117&gt;=5,AND(Entry!D119="Check",Entry!D120="",Entry!D121="")),"✓","")</f>
        <v/>
      </c>
      <c r="C33" s="53" t="s">
        <v>456</v>
      </c>
      <c r="D33" s="97" t="str">
        <f>IF(AND(Entry!D117&gt;=5,AND(Entry!D120="Check",Entry!D121="")),"✓","")</f>
        <v/>
      </c>
      <c r="E33" s="101" t="s">
        <v>457</v>
      </c>
      <c r="F33" s="97" t="str">
        <f>IF(AND(Entry!D117&gt;=5,Entry!D121="Check"),"✓","")</f>
        <v/>
      </c>
      <c r="G33" s="53" t="s">
        <v>458</v>
      </c>
      <c r="H33" s="62">
        <f>IF(F33&lt;&gt;"",3,IF(OR(E33="",D33&lt;&gt;""),2,IF(OR(C33="",B33&lt;&gt;""),1,0)))</f>
        <v>0</v>
      </c>
      <c r="I33" s="107">
        <f>MIN(H33:H34)</f>
        <v>0</v>
      </c>
    </row>
    <row r="34" spans="1:9" ht="30" x14ac:dyDescent="0.25">
      <c r="A34" s="31"/>
      <c r="B34" s="119" t="str">
        <f>IF(Entry!D122="Yes","✓","")</f>
        <v/>
      </c>
      <c r="C34" s="56" t="s">
        <v>459</v>
      </c>
      <c r="D34" s="119" t="str">
        <f>IF(Entry!D122="Yes","✓","")</f>
        <v/>
      </c>
      <c r="E34" s="56" t="s">
        <v>460</v>
      </c>
      <c r="F34" s="100" t="str">
        <f>IF(Entry!D122="Yes","✓","")</f>
        <v/>
      </c>
      <c r="G34" s="56" t="s">
        <v>461</v>
      </c>
      <c r="H34" s="64">
        <f>IF(F34&lt;&gt;"",3,IF(OR(E34="",D34&lt;&gt;""),2,IF(OR(C34="",B34&lt;&gt;""),1,0)))</f>
        <v>0</v>
      </c>
      <c r="I34" s="106"/>
    </row>
    <row r="35" spans="1:9" ht="60" x14ac:dyDescent="0.25">
      <c r="A35" s="31"/>
      <c r="B35" s="118" t="str">
        <f>IF(AND(Entry!D124="Check",Entry!D125="Check"),"✓","")</f>
        <v/>
      </c>
      <c r="C35" s="53" t="s">
        <v>462</v>
      </c>
      <c r="D35" s="118" t="str">
        <f>IF(AND(Entry!D124="Check",Entry!D125="Check"),"✓","")</f>
        <v/>
      </c>
      <c r="E35" s="53" t="s">
        <v>463</v>
      </c>
      <c r="F35" s="97" t="str">
        <f>IF(AND(Entry!D124="Check",Entry!D125="Check"),"✓","")</f>
        <v/>
      </c>
      <c r="G35" s="53" t="s">
        <v>464</v>
      </c>
      <c r="H35" s="62">
        <f t="shared" ref="H35:H36" si="9">IF(F35&lt;&gt;"",3,IF(OR(E35="",D35&lt;&gt;""),2,IF(OR(C35="",B35&lt;&gt;""),1,0)))</f>
        <v>0</v>
      </c>
      <c r="I35" s="107">
        <f>MIN(H35:H36)</f>
        <v>0</v>
      </c>
    </row>
    <row r="36" spans="1:9" ht="46.5" customHeight="1" x14ac:dyDescent="0.25">
      <c r="A36" s="31"/>
      <c r="B36" s="100" t="str">
        <f>IF(AND(COUNTA(Entry!D128:D130)=3,COUNTA(Entry!E128:G130)=0),"✓","")</f>
        <v/>
      </c>
      <c r="C36" s="56" t="s">
        <v>465</v>
      </c>
      <c r="D36" s="119" t="str">
        <f>IF(AND(COUNTA(Entry!D128:D130)=3,COUNTA(Entry!E128:G130)&gt;0),"✓","")</f>
        <v/>
      </c>
      <c r="E36" s="57" t="s">
        <v>466</v>
      </c>
      <c r="F36" s="100" t="str">
        <f>IF(AND(COUNTA(Entry!D128:D130)=3,COUNTA(Entry!E128:G130)&gt;0),"✓","")</f>
        <v/>
      </c>
      <c r="G36" s="56" t="s">
        <v>467</v>
      </c>
      <c r="H36" s="64">
        <f t="shared" si="9"/>
        <v>0</v>
      </c>
      <c r="I36" s="106"/>
    </row>
    <row r="37" spans="1:9" ht="30" x14ac:dyDescent="0.25">
      <c r="A37" s="31"/>
      <c r="B37" s="118" t="str">
        <f>IF(COUNTA(Entry!D135:E139)&gt;0,"✓","")</f>
        <v/>
      </c>
      <c r="C37" s="53" t="s">
        <v>468</v>
      </c>
      <c r="D37" s="118" t="str">
        <f>IF(COUNTA(Entry!D135:E139)&gt;0,"✓","")</f>
        <v/>
      </c>
      <c r="E37" s="53" t="s">
        <v>469</v>
      </c>
      <c r="F37" s="97" t="str">
        <f>IF(COUNTA(Entry!D135:E139)&gt;0,"✓","")</f>
        <v/>
      </c>
      <c r="G37" s="53" t="s">
        <v>470</v>
      </c>
      <c r="H37" s="65">
        <f t="shared" ref="H37:H43" si="10">IF(F37&lt;&gt;"",3,IF(OR(E37="",D37&lt;&gt;""),2,IF(OR(C37="",B37&lt;&gt;""),1,0)))</f>
        <v>0</v>
      </c>
      <c r="I37" s="107">
        <f>MIN(H37:H40)</f>
        <v>0</v>
      </c>
    </row>
    <row r="38" spans="1:9" ht="30" x14ac:dyDescent="0.25">
      <c r="A38" s="31"/>
      <c r="B38" s="99"/>
      <c r="C38" s="54"/>
      <c r="D38" s="116" t="str">
        <f>IF(Entry!D140="Yes","✓","")</f>
        <v/>
      </c>
      <c r="E38" s="55" t="s">
        <v>471</v>
      </c>
      <c r="F38" s="99" t="str">
        <f>IF(Entry!D140="Yes","✓","")</f>
        <v/>
      </c>
      <c r="G38" s="55" t="s">
        <v>472</v>
      </c>
      <c r="H38" s="63">
        <f t="shared" si="10"/>
        <v>1</v>
      </c>
      <c r="I38" s="104"/>
    </row>
    <row r="39" spans="1:9" ht="45" x14ac:dyDescent="0.25">
      <c r="A39" s="31"/>
      <c r="B39" s="99"/>
      <c r="C39" s="54"/>
      <c r="D39" s="99" t="str">
        <f>IF(AND(Entry!D141="Yes",Entry!D142&lt;&gt;"Yes"),"✓","")</f>
        <v/>
      </c>
      <c r="E39" s="55" t="s">
        <v>473</v>
      </c>
      <c r="F39" s="99" t="str">
        <f>IF(AND(Entry!D141="Yes",Entry!D142="Yes"),"✓","")</f>
        <v/>
      </c>
      <c r="G39" s="55" t="s">
        <v>474</v>
      </c>
      <c r="H39" s="63">
        <f t="shared" si="10"/>
        <v>1</v>
      </c>
      <c r="I39" s="104"/>
    </row>
    <row r="40" spans="1:9" ht="45" x14ac:dyDescent="0.25">
      <c r="A40" s="32"/>
      <c r="B40" s="100"/>
      <c r="C40" s="56"/>
      <c r="D40" s="100"/>
      <c r="E40" s="57"/>
      <c r="F40" s="100" t="str">
        <f>IF(Entry!D143="Yes","✓","")</f>
        <v/>
      </c>
      <c r="G40" s="56" t="s">
        <v>475</v>
      </c>
      <c r="H40" s="64">
        <f t="shared" si="10"/>
        <v>2</v>
      </c>
      <c r="I40" s="106"/>
    </row>
    <row r="41" spans="1:9" ht="60" x14ac:dyDescent="0.25">
      <c r="A41" s="30" t="s">
        <v>84</v>
      </c>
      <c r="B41" s="118" t="str">
        <f>IF(Entry!D148="Yes","✓","")</f>
        <v/>
      </c>
      <c r="C41" s="53" t="s">
        <v>494</v>
      </c>
      <c r="D41" s="118" t="str">
        <f>IF(Entry!D148="Yes","✓","")</f>
        <v/>
      </c>
      <c r="E41" s="53" t="s">
        <v>495</v>
      </c>
      <c r="F41" s="97" t="str">
        <f>IF(Entry!D148="Yes","✓","")</f>
        <v/>
      </c>
      <c r="G41" s="53" t="s">
        <v>496</v>
      </c>
      <c r="H41" s="62">
        <f t="shared" si="10"/>
        <v>0</v>
      </c>
      <c r="I41" s="107">
        <f>MIN(H41:H42)</f>
        <v>0</v>
      </c>
    </row>
    <row r="42" spans="1:9" ht="30" x14ac:dyDescent="0.25">
      <c r="A42" s="32"/>
      <c r="B42" s="100" t="str">
        <f>IF(SUM(Entry!D20:E22)&gt;0,IF(AND(Entry!D149/SUM(Entry!D20:E22)&gt;=0.5,Entry!D149/SUM(Entry!D20:E22)&lt;0.75),"✓",""),"")</f>
        <v/>
      </c>
      <c r="C42" s="56" t="s">
        <v>476</v>
      </c>
      <c r="D42" s="100" t="str">
        <f>IF(SUM(Entry!D20:E22)&gt;0,IF(AND(Entry!D149/SUM(Entry!D20:E22)&gt;=0.75,Entry!D149/SUM(Entry!D20:E22)&lt;0.85),"✓",""),"")</f>
        <v/>
      </c>
      <c r="E42" s="57" t="s">
        <v>477</v>
      </c>
      <c r="F42" s="100" t="str">
        <f>IF(SUM(Entry!D20:E22)&gt;0,IF(AND(Entry!D149/SUM(Entry!D20:E22)&gt;=0.85),"✓",""),"")</f>
        <v/>
      </c>
      <c r="G42" s="56" t="s">
        <v>478</v>
      </c>
      <c r="H42" s="64">
        <f t="shared" si="10"/>
        <v>0</v>
      </c>
      <c r="I42" s="106"/>
    </row>
    <row r="43" spans="1:9" ht="60" x14ac:dyDescent="0.25">
      <c r="A43" s="30" t="s">
        <v>85</v>
      </c>
      <c r="B43" s="98" t="str">
        <f>IF(AND(COUNTA(Entry!D155:G155)&gt;0,D43=""),"✓","")</f>
        <v/>
      </c>
      <c r="C43" s="27" t="s">
        <v>479</v>
      </c>
      <c r="D43" s="117" t="str">
        <f>IF(COUNTA(Entry!D156:G159)&gt;0,"✓","")</f>
        <v/>
      </c>
      <c r="E43" s="28" t="s">
        <v>480</v>
      </c>
      <c r="F43" s="98" t="str">
        <f>IF(COUNTA(Entry!D156:G159)&gt;0,"✓","")</f>
        <v/>
      </c>
      <c r="G43" s="28" t="s">
        <v>481</v>
      </c>
      <c r="H43" s="62">
        <f t="shared" si="10"/>
        <v>0</v>
      </c>
      <c r="I43" s="105">
        <f>IF(F43&lt;&gt;"",3,IF(OR(E43="",D43&lt;&gt;""),2,IF(OR(C43="",B43&lt;&gt;""),1,0)))</f>
        <v>0</v>
      </c>
    </row>
    <row r="44" spans="1:9" ht="45" x14ac:dyDescent="0.25">
      <c r="A44" s="31"/>
      <c r="B44" s="118" t="str">
        <f>IF(Entry!D161="Yes","✓","")</f>
        <v/>
      </c>
      <c r="C44" s="53" t="s">
        <v>482</v>
      </c>
      <c r="D44" s="118" t="str">
        <f>IF(Entry!D161="Yes","✓","")</f>
        <v/>
      </c>
      <c r="E44" s="53" t="s">
        <v>483</v>
      </c>
      <c r="F44" s="97" t="str">
        <f>IF(Entry!D161="Yes","✓","")</f>
        <v/>
      </c>
      <c r="G44" s="53" t="s">
        <v>484</v>
      </c>
      <c r="H44" s="62">
        <f t="shared" ref="H44:H47" si="11">IF(F44&lt;&gt;"",3,IF(OR(E44="",D44&lt;&gt;""),2,IF(OR(C44="",B44&lt;&gt;""),1,0)))</f>
        <v>0</v>
      </c>
      <c r="I44" s="107">
        <f>MIN(H44:H48)</f>
        <v>0</v>
      </c>
    </row>
    <row r="45" spans="1:9" ht="15.75" x14ac:dyDescent="0.25">
      <c r="A45" s="31"/>
      <c r="B45" s="99"/>
      <c r="C45" s="54"/>
      <c r="D45" s="116" t="str">
        <f>IF(Entry!D162="Yes","✓","")</f>
        <v/>
      </c>
      <c r="E45" s="55" t="s">
        <v>485</v>
      </c>
      <c r="F45" s="99" t="str">
        <f>IF(Entry!D162="Yes","✓","")</f>
        <v/>
      </c>
      <c r="G45" s="55" t="s">
        <v>486</v>
      </c>
      <c r="H45" s="63">
        <f t="shared" si="11"/>
        <v>1</v>
      </c>
      <c r="I45" s="104"/>
    </row>
    <row r="46" spans="1:9" ht="45" x14ac:dyDescent="0.25">
      <c r="A46" s="31"/>
      <c r="B46" s="99"/>
      <c r="C46" s="54"/>
      <c r="D46" s="99"/>
      <c r="E46" s="55"/>
      <c r="F46" s="99" t="str">
        <f>IF(Entry!D163="Yes","✓","")</f>
        <v/>
      </c>
      <c r="G46" s="54" t="s">
        <v>487</v>
      </c>
      <c r="H46" s="63">
        <f t="shared" si="11"/>
        <v>2</v>
      </c>
      <c r="I46" s="104"/>
    </row>
    <row r="47" spans="1:9" ht="45" x14ac:dyDescent="0.25">
      <c r="A47" s="31"/>
      <c r="B47" s="99"/>
      <c r="C47" s="54"/>
      <c r="D47" s="99" t="str">
        <f>IF(AND(Entry!D164="Yes",F47=""),"✓","")</f>
        <v/>
      </c>
      <c r="E47" s="55" t="s">
        <v>488</v>
      </c>
      <c r="F47" s="99" t="str">
        <f>IF(Entry!D165="Yes","✓","")</f>
        <v/>
      </c>
      <c r="G47" s="54" t="s">
        <v>489</v>
      </c>
      <c r="H47" s="63">
        <f t="shared" si="11"/>
        <v>1</v>
      </c>
      <c r="I47" s="104"/>
    </row>
    <row r="48" spans="1:9" ht="30" x14ac:dyDescent="0.25">
      <c r="A48" s="32"/>
      <c r="B48" s="100"/>
      <c r="C48" s="56"/>
      <c r="D48" s="119" t="str">
        <f>IF(Entry!D166="Yes","✓","")</f>
        <v/>
      </c>
      <c r="E48" s="57" t="s">
        <v>490</v>
      </c>
      <c r="F48" s="100" t="str">
        <f>IF(Entry!D166="Yes","✓","")</f>
        <v/>
      </c>
      <c r="G48" s="56" t="s">
        <v>491</v>
      </c>
      <c r="H48" s="64">
        <f t="shared" ref="H48" si="12">IF(F48&lt;&gt;"",3,IF(OR(E48="",D48&lt;&gt;""),2,IF(OR(C48="",B48&lt;&gt;""),1,0)))</f>
        <v>1</v>
      </c>
      <c r="I48" s="106"/>
    </row>
  </sheetData>
  <sheetProtection sheet="1" objects="1" scenarios="1"/>
  <conditionalFormatting sqref="C12 E12 G12:I12">
    <cfRule type="expression" dxfId="31" priority="36">
      <formula>$H12=0</formula>
    </cfRule>
  </conditionalFormatting>
  <conditionalFormatting sqref="D12">
    <cfRule type="expression" dxfId="30" priority="35">
      <formula>$H12=0</formula>
    </cfRule>
  </conditionalFormatting>
  <conditionalFormatting sqref="C9 E9 G9:I9">
    <cfRule type="expression" dxfId="29" priority="34">
      <formula>$H9=0</formula>
    </cfRule>
  </conditionalFormatting>
  <conditionalFormatting sqref="D9">
    <cfRule type="expression" dxfId="28" priority="33">
      <formula>$H9=0</formula>
    </cfRule>
  </conditionalFormatting>
  <conditionalFormatting sqref="C28 E28 G28:I28">
    <cfRule type="expression" dxfId="27" priority="32">
      <formula>$H28=0</formula>
    </cfRule>
  </conditionalFormatting>
  <conditionalFormatting sqref="D28">
    <cfRule type="expression" dxfId="26" priority="31">
      <formula>$H28=0</formula>
    </cfRule>
  </conditionalFormatting>
  <conditionalFormatting sqref="C37 E37 G37:I37">
    <cfRule type="expression" dxfId="25" priority="30">
      <formula>$H37=0</formula>
    </cfRule>
  </conditionalFormatting>
  <conditionalFormatting sqref="D37">
    <cfRule type="expression" dxfId="24" priority="29">
      <formula>$H37=0</formula>
    </cfRule>
  </conditionalFormatting>
  <conditionalFormatting sqref="C30 E30 G30:I30">
    <cfRule type="expression" dxfId="23" priority="28">
      <formula>$H30=0</formula>
    </cfRule>
  </conditionalFormatting>
  <conditionalFormatting sqref="D30">
    <cfRule type="expression" dxfId="22" priority="27">
      <formula>$H30=0</formula>
    </cfRule>
  </conditionalFormatting>
  <conditionalFormatting sqref="H28">
    <cfRule type="expression" dxfId="21" priority="26">
      <formula>$H28=0</formula>
    </cfRule>
  </conditionalFormatting>
  <conditionalFormatting sqref="F12">
    <cfRule type="expression" dxfId="20" priority="25">
      <formula>$H12=0</formula>
    </cfRule>
  </conditionalFormatting>
  <conditionalFormatting sqref="F9">
    <cfRule type="expression" dxfId="19" priority="24">
      <formula>$H9=0</formula>
    </cfRule>
  </conditionalFormatting>
  <conditionalFormatting sqref="F28">
    <cfRule type="expression" dxfId="18" priority="23">
      <formula>$H28=0</formula>
    </cfRule>
  </conditionalFormatting>
  <conditionalFormatting sqref="F37">
    <cfRule type="expression" dxfId="17" priority="22">
      <formula>$H37=0</formula>
    </cfRule>
  </conditionalFormatting>
  <conditionalFormatting sqref="F30">
    <cfRule type="expression" dxfId="16" priority="21">
      <formula>$H30=0</formula>
    </cfRule>
  </conditionalFormatting>
  <conditionalFormatting sqref="B12">
    <cfRule type="expression" dxfId="15" priority="20">
      <formula>$H12=0</formula>
    </cfRule>
  </conditionalFormatting>
  <conditionalFormatting sqref="B9">
    <cfRule type="expression" dxfId="14" priority="19">
      <formula>$H9=0</formula>
    </cfRule>
  </conditionalFormatting>
  <conditionalFormatting sqref="B28">
    <cfRule type="expression" dxfId="13" priority="18">
      <formula>$H28=0</formula>
    </cfRule>
  </conditionalFormatting>
  <conditionalFormatting sqref="B37">
    <cfRule type="expression" dxfId="12" priority="17">
      <formula>$H37=0</formula>
    </cfRule>
  </conditionalFormatting>
  <conditionalFormatting sqref="B30">
    <cfRule type="expression" dxfId="11" priority="16">
      <formula>$H30=0</formula>
    </cfRule>
  </conditionalFormatting>
  <conditionalFormatting sqref="I41">
    <cfRule type="expression" dxfId="10" priority="15">
      <formula>$H41=0</formula>
    </cfRule>
  </conditionalFormatting>
  <conditionalFormatting sqref="I9:I48">
    <cfRule type="containsBlanks" dxfId="9" priority="9">
      <formula>LEN(TRIM(I9))=0</formula>
    </cfRule>
    <cfRule type="cellIs" dxfId="8" priority="10" operator="equal">
      <formula>0</formula>
    </cfRule>
    <cfRule type="cellIs" dxfId="7" priority="11" operator="equal">
      <formula>3</formula>
    </cfRule>
    <cfRule type="cellIs" dxfId="6" priority="12" operator="equal">
      <formula>1</formula>
    </cfRule>
    <cfRule type="cellIs" dxfId="5" priority="13" operator="equal">
      <formula>2</formula>
    </cfRule>
    <cfRule type="cellIs" dxfId="4" priority="14" operator="equal">
      <formula>2</formula>
    </cfRule>
  </conditionalFormatting>
  <conditionalFormatting sqref="I4">
    <cfRule type="cellIs" dxfId="3" priority="5" operator="equal">
      <formula>"★★★"</formula>
    </cfRule>
    <cfRule type="cellIs" dxfId="2" priority="6" operator="equal">
      <formula>"★"</formula>
    </cfRule>
    <cfRule type="cellIs" dxfId="1" priority="7" operator="equal">
      <formula>"0 Star"</formula>
    </cfRule>
    <cfRule type="cellIs" dxfId="0" priority="8" operator="equal">
      <formula>"★★"</formula>
    </cfRule>
  </conditionalFormatting>
  <pageMargins left="0.25" right="0.25" top="0.75" bottom="0.5" header="0.3" footer="0.25"/>
  <pageSetup paperSize="9" orientation="landscape" r:id="rId1"/>
  <headerFooter>
    <oddFooter>Page &amp;P of &amp;N</oddFooter>
  </headerFooter>
  <rowBreaks count="1" manualBreakCount="1">
    <brk id="27"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1"/>
  <sheetViews>
    <sheetView showGridLines="0" workbookViewId="0"/>
  </sheetViews>
  <sheetFormatPr defaultRowHeight="15" x14ac:dyDescent="0.25"/>
  <cols>
    <col min="15" max="15" width="30.7109375" bestFit="1" customWidth="1"/>
  </cols>
  <sheetData>
    <row r="1" spans="1:11" x14ac:dyDescent="0.25">
      <c r="A1" s="19" t="s">
        <v>366</v>
      </c>
      <c r="B1" s="19"/>
      <c r="C1" s="19"/>
      <c r="D1" s="19"/>
      <c r="E1" s="19"/>
      <c r="F1" s="19"/>
      <c r="G1" s="19"/>
      <c r="H1" s="19"/>
      <c r="I1" s="19"/>
      <c r="J1" s="19"/>
      <c r="K1" s="19"/>
    </row>
    <row r="2" spans="1:11" x14ac:dyDescent="0.25">
      <c r="A2" s="33" t="str">
        <f>Entry!D11 &amp; IF(Entry!D13&lt;&gt;"", ", "  &amp; Entry!D13, "") &amp; ", " &amp; Entry!D14</f>
        <v xml:space="preserve">, </v>
      </c>
      <c r="B2" s="19"/>
      <c r="C2" s="19"/>
      <c r="D2" s="19"/>
      <c r="E2" s="19"/>
      <c r="F2" s="19"/>
      <c r="G2" s="19"/>
      <c r="H2" s="19"/>
      <c r="I2" s="19"/>
      <c r="J2" s="19"/>
      <c r="K2" s="19"/>
    </row>
    <row r="81" spans="15:16" x14ac:dyDescent="0.25">
      <c r="O81" s="36" t="s">
        <v>331</v>
      </c>
    </row>
    <row r="82" spans="15:16" x14ac:dyDescent="0.25">
      <c r="O82" t="s">
        <v>330</v>
      </c>
      <c r="P82" s="102">
        <f>ROUND(AVERAGE('3Stars'!I9:I11),0)</f>
        <v>0</v>
      </c>
    </row>
    <row r="83" spans="15:16" x14ac:dyDescent="0.25">
      <c r="O83" t="s">
        <v>81</v>
      </c>
      <c r="P83" s="102">
        <f>ROUND(AVERAGE('3Stars'!I12:I27),0)</f>
        <v>0</v>
      </c>
    </row>
    <row r="84" spans="15:16" x14ac:dyDescent="0.25">
      <c r="O84" t="s">
        <v>82</v>
      </c>
      <c r="P84" s="102">
        <f>ROUND(AVERAGE('3Stars'!I28:I40),0)</f>
        <v>0</v>
      </c>
    </row>
    <row r="85" spans="15:16" x14ac:dyDescent="0.25">
      <c r="O85" t="s">
        <v>84</v>
      </c>
      <c r="P85" s="102">
        <f>'3Stars'!I41</f>
        <v>0</v>
      </c>
    </row>
    <row r="86" spans="15:16" x14ac:dyDescent="0.25">
      <c r="O86" t="s">
        <v>85</v>
      </c>
      <c r="P86" s="102">
        <f>ROUND(AVERAGE('3Stars'!I43:I48),0)</f>
        <v>0</v>
      </c>
    </row>
    <row r="87" spans="15:16" x14ac:dyDescent="0.25">
      <c r="P87" s="102"/>
    </row>
    <row r="89" spans="15:16" x14ac:dyDescent="0.25">
      <c r="O89" s="36" t="s">
        <v>332</v>
      </c>
    </row>
    <row r="90" spans="15:16" x14ac:dyDescent="0.25">
      <c r="O90" t="s">
        <v>374</v>
      </c>
      <c r="P90">
        <f>'3Stars'!H9</f>
        <v>0</v>
      </c>
    </row>
    <row r="91" spans="15:16" x14ac:dyDescent="0.25">
      <c r="O91" t="s">
        <v>334</v>
      </c>
      <c r="P91">
        <f>'3Stars'!H10</f>
        <v>0</v>
      </c>
    </row>
    <row r="92" spans="15:16" x14ac:dyDescent="0.25">
      <c r="O92" t="s">
        <v>333</v>
      </c>
      <c r="P92">
        <f>'3Stars'!H11</f>
        <v>0</v>
      </c>
    </row>
    <row r="95" spans="15:16" x14ac:dyDescent="0.25">
      <c r="O95" s="36" t="s">
        <v>335</v>
      </c>
    </row>
    <row r="96" spans="15:16" x14ac:dyDescent="0.25">
      <c r="O96" t="s">
        <v>493</v>
      </c>
      <c r="P96">
        <f>'3Stars'!H12</f>
        <v>0</v>
      </c>
    </row>
    <row r="97" spans="15:16" x14ac:dyDescent="0.25">
      <c r="O97" t="s">
        <v>336</v>
      </c>
      <c r="P97">
        <f>'3Stars'!H13</f>
        <v>0</v>
      </c>
    </row>
    <row r="98" spans="15:16" x14ac:dyDescent="0.25">
      <c r="O98" t="s">
        <v>337</v>
      </c>
      <c r="P98">
        <f>'3Stars'!H14</f>
        <v>1</v>
      </c>
    </row>
    <row r="99" spans="15:16" x14ac:dyDescent="0.25">
      <c r="O99" t="s">
        <v>338</v>
      </c>
      <c r="P99">
        <f>'3Stars'!H15</f>
        <v>1</v>
      </c>
    </row>
    <row r="100" spans="15:16" x14ac:dyDescent="0.25">
      <c r="O100" t="s">
        <v>339</v>
      </c>
      <c r="P100">
        <f>'3Stars'!H16</f>
        <v>1</v>
      </c>
    </row>
    <row r="101" spans="15:16" x14ac:dyDescent="0.25">
      <c r="O101" t="s">
        <v>340</v>
      </c>
      <c r="P101">
        <f>'3Stars'!H17</f>
        <v>2</v>
      </c>
    </row>
    <row r="102" spans="15:16" x14ac:dyDescent="0.25">
      <c r="O102" t="s">
        <v>341</v>
      </c>
      <c r="P102">
        <f>'3Stars'!H18</f>
        <v>0</v>
      </c>
    </row>
    <row r="103" spans="15:16" x14ac:dyDescent="0.25">
      <c r="O103" t="s">
        <v>342</v>
      </c>
      <c r="P103">
        <f>'3Stars'!H19</f>
        <v>0</v>
      </c>
    </row>
    <row r="104" spans="15:16" x14ac:dyDescent="0.25">
      <c r="O104" t="s">
        <v>376</v>
      </c>
      <c r="P104">
        <f>'3Stars'!H20</f>
        <v>0</v>
      </c>
    </row>
    <row r="105" spans="15:16" x14ac:dyDescent="0.25">
      <c r="O105" t="s">
        <v>378</v>
      </c>
      <c r="P105">
        <f>'3Stars'!H21</f>
        <v>0</v>
      </c>
    </row>
    <row r="106" spans="15:16" x14ac:dyDescent="0.25">
      <c r="O106" t="s">
        <v>362</v>
      </c>
      <c r="P106">
        <f>'3Stars'!H22</f>
        <v>0</v>
      </c>
    </row>
    <row r="107" spans="15:16" x14ac:dyDescent="0.25">
      <c r="O107" t="s">
        <v>343</v>
      </c>
      <c r="P107">
        <f>'3Stars'!H23</f>
        <v>0</v>
      </c>
    </row>
    <row r="108" spans="15:16" x14ac:dyDescent="0.25">
      <c r="O108" t="s">
        <v>344</v>
      </c>
      <c r="P108">
        <f>'3Stars'!H24</f>
        <v>0</v>
      </c>
    </row>
    <row r="109" spans="15:16" x14ac:dyDescent="0.25">
      <c r="O109" t="s">
        <v>345</v>
      </c>
      <c r="P109">
        <f>'3Stars'!H25</f>
        <v>0</v>
      </c>
    </row>
    <row r="110" spans="15:16" x14ac:dyDescent="0.25">
      <c r="O110" t="s">
        <v>377</v>
      </c>
      <c r="P110" s="102">
        <f>'3Stars'!H26</f>
        <v>2</v>
      </c>
    </row>
    <row r="111" spans="15:16" x14ac:dyDescent="0.25">
      <c r="O111" t="s">
        <v>346</v>
      </c>
      <c r="P111">
        <f>'3Stars'!H27</f>
        <v>0</v>
      </c>
    </row>
    <row r="113" spans="15:16" x14ac:dyDescent="0.25">
      <c r="O113" s="36" t="s">
        <v>347</v>
      </c>
    </row>
    <row r="114" spans="15:16" x14ac:dyDescent="0.25">
      <c r="O114" t="s">
        <v>370</v>
      </c>
      <c r="P114">
        <f>'3Stars'!H28</f>
        <v>5</v>
      </c>
    </row>
    <row r="115" spans="15:16" x14ac:dyDescent="0.25">
      <c r="O115" t="s">
        <v>363</v>
      </c>
      <c r="P115">
        <f>'3Stars'!H29</f>
        <v>0</v>
      </c>
    </row>
    <row r="116" spans="15:16" x14ac:dyDescent="0.25">
      <c r="O116" t="s">
        <v>371</v>
      </c>
      <c r="P116">
        <f>'3Stars'!H30</f>
        <v>5</v>
      </c>
    </row>
    <row r="117" spans="15:16" x14ac:dyDescent="0.25">
      <c r="O117" t="s">
        <v>372</v>
      </c>
      <c r="P117">
        <f>'3Stars'!H31</f>
        <v>2</v>
      </c>
    </row>
    <row r="118" spans="15:16" x14ac:dyDescent="0.25">
      <c r="O118" t="s">
        <v>373</v>
      </c>
      <c r="P118">
        <f>'3Stars'!H32</f>
        <v>2</v>
      </c>
    </row>
    <row r="119" spans="15:16" x14ac:dyDescent="0.25">
      <c r="O119" t="s">
        <v>367</v>
      </c>
      <c r="P119">
        <f>'3Stars'!H33</f>
        <v>0</v>
      </c>
    </row>
    <row r="120" spans="15:16" x14ac:dyDescent="0.25">
      <c r="O120" t="s">
        <v>368</v>
      </c>
      <c r="P120">
        <f>'3Stars'!H34</f>
        <v>0</v>
      </c>
    </row>
    <row r="121" spans="15:16" x14ac:dyDescent="0.25">
      <c r="O121" t="s">
        <v>369</v>
      </c>
      <c r="P121">
        <f>'3Stars'!H35</f>
        <v>0</v>
      </c>
    </row>
    <row r="122" spans="15:16" x14ac:dyDescent="0.25">
      <c r="O122" t="s">
        <v>348</v>
      </c>
      <c r="P122">
        <f>'3Stars'!H36</f>
        <v>0</v>
      </c>
    </row>
    <row r="123" spans="15:16" x14ac:dyDescent="0.25">
      <c r="O123" t="s">
        <v>349</v>
      </c>
      <c r="P123">
        <f>'3Stars'!H37</f>
        <v>0</v>
      </c>
    </row>
    <row r="124" spans="15:16" x14ac:dyDescent="0.25">
      <c r="O124" t="s">
        <v>364</v>
      </c>
      <c r="P124">
        <f>'3Stars'!H38</f>
        <v>1</v>
      </c>
    </row>
    <row r="125" spans="15:16" x14ac:dyDescent="0.25">
      <c r="O125" t="s">
        <v>350</v>
      </c>
      <c r="P125">
        <f>'3Stars'!H39</f>
        <v>1</v>
      </c>
    </row>
    <row r="126" spans="15:16" x14ac:dyDescent="0.25">
      <c r="O126" t="s">
        <v>351</v>
      </c>
      <c r="P126">
        <f>'3Stars'!H40</f>
        <v>2</v>
      </c>
    </row>
    <row r="128" spans="15:16" x14ac:dyDescent="0.25">
      <c r="O128" s="36" t="s">
        <v>352</v>
      </c>
    </row>
    <row r="129" spans="15:16" x14ac:dyDescent="0.25">
      <c r="O129" t="s">
        <v>353</v>
      </c>
      <c r="P129">
        <f>'3Stars'!H41</f>
        <v>0</v>
      </c>
    </row>
    <row r="130" spans="15:16" x14ac:dyDescent="0.25">
      <c r="O130" t="s">
        <v>354</v>
      </c>
      <c r="P130">
        <f>'3Stars'!H42</f>
        <v>0</v>
      </c>
    </row>
    <row r="135" spans="15:16" x14ac:dyDescent="0.25">
      <c r="O135" s="36" t="s">
        <v>360</v>
      </c>
    </row>
    <row r="136" spans="15:16" x14ac:dyDescent="0.25">
      <c r="O136" t="s">
        <v>355</v>
      </c>
      <c r="P136">
        <f>'3Stars'!H43</f>
        <v>0</v>
      </c>
    </row>
    <row r="137" spans="15:16" x14ac:dyDescent="0.25">
      <c r="O137" t="s">
        <v>357</v>
      </c>
      <c r="P137">
        <f>'3Stars'!H44</f>
        <v>0</v>
      </c>
    </row>
    <row r="138" spans="15:16" x14ac:dyDescent="0.25">
      <c r="O138" t="s">
        <v>358</v>
      </c>
      <c r="P138">
        <f>'3Stars'!H45</f>
        <v>1</v>
      </c>
    </row>
    <row r="139" spans="15:16" x14ac:dyDescent="0.25">
      <c r="O139" t="s">
        <v>356</v>
      </c>
      <c r="P139">
        <f>'3Stars'!H46</f>
        <v>2</v>
      </c>
    </row>
    <row r="140" spans="15:16" x14ac:dyDescent="0.25">
      <c r="O140" t="s">
        <v>359</v>
      </c>
      <c r="P140">
        <f>'3Stars'!H47</f>
        <v>1</v>
      </c>
    </row>
    <row r="141" spans="15:16" x14ac:dyDescent="0.25">
      <c r="O141" t="s">
        <v>365</v>
      </c>
      <c r="P141">
        <f>'3Stars'!H48</f>
        <v>1</v>
      </c>
    </row>
  </sheetData>
  <sheetProtection sheet="1" objects="1" scenarios="1"/>
  <printOptions horizontalCentered="1"/>
  <pageMargins left="0.25" right="0.25" top="0.25" bottom="0.2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6"/>
  <sheetViews>
    <sheetView zoomScale="115" zoomScaleNormal="115" workbookViewId="0">
      <pane ySplit="1" topLeftCell="A2" activePane="bottomLeft" state="frozen"/>
      <selection activeCell="B3" sqref="B3"/>
      <selection pane="bottomLeft" activeCell="B3" sqref="B3"/>
    </sheetView>
  </sheetViews>
  <sheetFormatPr defaultRowHeight="15" x14ac:dyDescent="0.25"/>
  <cols>
    <col min="1" max="4" width="9.140625" style="3"/>
    <col min="5" max="5" width="21.7109375" style="3" customWidth="1"/>
    <col min="6" max="16384" width="9.140625" style="3"/>
  </cols>
  <sheetData>
    <row r="1" spans="1:11" x14ac:dyDescent="0.25">
      <c r="A1" s="3" t="s">
        <v>11</v>
      </c>
      <c r="B1" s="3" t="s">
        <v>17</v>
      </c>
      <c r="C1" s="3" t="s">
        <v>6</v>
      </c>
      <c r="D1" s="3" t="s">
        <v>152</v>
      </c>
      <c r="E1" s="3" t="s">
        <v>136</v>
      </c>
      <c r="F1" s="3" t="s">
        <v>37</v>
      </c>
      <c r="G1" s="3" t="s">
        <v>86</v>
      </c>
      <c r="H1" s="3" t="s">
        <v>88</v>
      </c>
      <c r="I1" s="3" t="s">
        <v>89</v>
      </c>
      <c r="J1" s="3" t="s">
        <v>92</v>
      </c>
      <c r="K1" s="3" t="s">
        <v>93</v>
      </c>
    </row>
    <row r="2" spans="1:11" x14ac:dyDescent="0.25">
      <c r="A2" s="3">
        <v>2016</v>
      </c>
      <c r="B2" s="3" t="s">
        <v>17</v>
      </c>
      <c r="C2" s="3" t="s">
        <v>7</v>
      </c>
      <c r="D2" s="3" t="s">
        <v>153</v>
      </c>
      <c r="E2" s="3" t="s">
        <v>137</v>
      </c>
      <c r="F2" s="3" t="s">
        <v>91</v>
      </c>
      <c r="G2" s="3" t="s">
        <v>26</v>
      </c>
      <c r="H2" s="3" t="s">
        <v>90</v>
      </c>
      <c r="I2" s="3" t="s">
        <v>90</v>
      </c>
      <c r="J2" s="3" t="s">
        <v>94</v>
      </c>
      <c r="K2" s="3" t="s">
        <v>94</v>
      </c>
    </row>
    <row r="3" spans="1:11" x14ac:dyDescent="0.25">
      <c r="A3" s="3">
        <f>A2+1</f>
        <v>2017</v>
      </c>
      <c r="B3" s="14"/>
      <c r="C3" s="3" t="s">
        <v>10</v>
      </c>
      <c r="D3" s="3" t="s">
        <v>154</v>
      </c>
      <c r="E3" s="3" t="s">
        <v>310</v>
      </c>
      <c r="F3" s="3" t="s">
        <v>35</v>
      </c>
      <c r="G3" s="3" t="s">
        <v>27</v>
      </c>
      <c r="H3" s="3" t="s">
        <v>30</v>
      </c>
      <c r="I3" s="3" t="s">
        <v>33</v>
      </c>
      <c r="J3" s="3" t="s">
        <v>42</v>
      </c>
      <c r="K3" s="3" t="s">
        <v>53</v>
      </c>
    </row>
    <row r="4" spans="1:11" x14ac:dyDescent="0.25">
      <c r="A4" s="3">
        <f t="shared" ref="A4:A16" si="0">A3+1</f>
        <v>2018</v>
      </c>
      <c r="E4" s="3" t="s">
        <v>138</v>
      </c>
      <c r="F4" s="3" t="s">
        <v>36</v>
      </c>
      <c r="G4" s="3" t="s">
        <v>28</v>
      </c>
      <c r="H4" s="3" t="s">
        <v>31</v>
      </c>
      <c r="I4" s="3" t="s">
        <v>31</v>
      </c>
      <c r="J4" s="3" t="s">
        <v>43</v>
      </c>
      <c r="K4" s="3" t="s">
        <v>54</v>
      </c>
    </row>
    <row r="5" spans="1:11" x14ac:dyDescent="0.25">
      <c r="A5" s="3">
        <f t="shared" si="0"/>
        <v>2019</v>
      </c>
      <c r="H5" s="3" t="s">
        <v>32</v>
      </c>
      <c r="I5" s="3" t="s">
        <v>34</v>
      </c>
    </row>
    <row r="6" spans="1:11" x14ac:dyDescent="0.25">
      <c r="A6" s="3">
        <f t="shared" si="0"/>
        <v>2020</v>
      </c>
    </row>
    <row r="7" spans="1:11" x14ac:dyDescent="0.25">
      <c r="A7" s="3">
        <f t="shared" si="0"/>
        <v>2021</v>
      </c>
    </row>
    <row r="8" spans="1:11" x14ac:dyDescent="0.25">
      <c r="A8" s="3">
        <f t="shared" si="0"/>
        <v>2022</v>
      </c>
    </row>
    <row r="9" spans="1:11" x14ac:dyDescent="0.25">
      <c r="A9" s="3">
        <f t="shared" si="0"/>
        <v>2023</v>
      </c>
    </row>
    <row r="10" spans="1:11" x14ac:dyDescent="0.25">
      <c r="A10" s="3">
        <f t="shared" si="0"/>
        <v>2024</v>
      </c>
    </row>
    <row r="11" spans="1:11" x14ac:dyDescent="0.25">
      <c r="A11" s="3">
        <f t="shared" si="0"/>
        <v>2025</v>
      </c>
    </row>
    <row r="12" spans="1:11" x14ac:dyDescent="0.25">
      <c r="A12" s="3">
        <f t="shared" si="0"/>
        <v>2026</v>
      </c>
    </row>
    <row r="13" spans="1:11" x14ac:dyDescent="0.25">
      <c r="A13" s="3">
        <f t="shared" si="0"/>
        <v>2027</v>
      </c>
    </row>
    <row r="14" spans="1:11" x14ac:dyDescent="0.25">
      <c r="A14" s="3">
        <f t="shared" si="0"/>
        <v>2028</v>
      </c>
    </row>
    <row r="15" spans="1:11" x14ac:dyDescent="0.25">
      <c r="A15" s="3">
        <f t="shared" si="0"/>
        <v>2029</v>
      </c>
    </row>
    <row r="16" spans="1:11" x14ac:dyDescent="0.25">
      <c r="A16" s="3">
        <f t="shared" si="0"/>
        <v>2030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workbookViewId="0"/>
  </sheetViews>
  <sheetFormatPr defaultRowHeight="15" x14ac:dyDescent="0.25"/>
  <cols>
    <col min="1" max="1" width="9.140625" style="88"/>
    <col min="2" max="2" width="9.140625" style="89" customWidth="1"/>
    <col min="3" max="3" width="9.140625" style="3"/>
    <col min="4" max="6" width="9.140625" style="16"/>
    <col min="7" max="7" width="9.140625" style="3"/>
    <col min="8" max="11" width="9.140625" style="16"/>
    <col min="12" max="16384" width="9.140625" style="3"/>
  </cols>
  <sheetData>
    <row r="1" spans="1:2" x14ac:dyDescent="0.25">
      <c r="A1" s="88" t="s">
        <v>156</v>
      </c>
      <c r="B1" s="89" t="s">
        <v>158</v>
      </c>
    </row>
    <row r="2" spans="1:2" x14ac:dyDescent="0.25">
      <c r="A2" s="88" t="s">
        <v>157</v>
      </c>
      <c r="B2" s="89" t="s">
        <v>530</v>
      </c>
    </row>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Entry</vt:lpstr>
      <vt:lpstr>Ref</vt:lpstr>
      <vt:lpstr>Matrix</vt:lpstr>
      <vt:lpstr>3Stars</vt:lpstr>
      <vt:lpstr>Charts</vt:lpstr>
      <vt:lpstr>Dropdown</vt:lpstr>
      <vt:lpstr>Settings</vt:lpstr>
      <vt:lpstr>Dropdown</vt:lpstr>
      <vt:lpstr>Headers</vt:lpstr>
      <vt:lpstr>'3Stars'!Print_Area</vt:lpstr>
      <vt:lpstr>Charts!Print_Area</vt:lpstr>
      <vt:lpstr>Matrix!Print_Area</vt:lpstr>
      <vt:lpstr>'3Stars'!Print_Titles</vt:lpstr>
    </vt:vector>
  </TitlesOfParts>
  <Company>Prive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UserXP</dc:creator>
  <cp:lastModifiedBy>Abram</cp:lastModifiedBy>
  <cp:lastPrinted>2017-05-24T16:48:07Z</cp:lastPrinted>
  <dcterms:created xsi:type="dcterms:W3CDTF">2014-10-30T07:14:49Z</dcterms:created>
  <dcterms:modified xsi:type="dcterms:W3CDTF">2017-05-25T16:24:01Z</dcterms:modified>
</cp:coreProperties>
</file>